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27-220" sheetId="1" r:id="rId1"/>
    <sheet name="Plan1" sheetId="2" r:id="rId2"/>
  </sheets>
  <definedNames>
    <definedName name="_xlnm.Print_Area" localSheetId="0">'127-220'!$A$1:$G$81</definedName>
    <definedName name="_xlnm.Print_Titles" localSheetId="0">'127-220'!$8:$11</definedName>
    <definedName name="Excel_BuiltIn_Print_Area" localSheetId="0">'127-220'!#REF!</definedName>
  </definedNames>
  <calcPr fullCalcOnLoad="1"/>
</workbook>
</file>

<file path=xl/sharedStrings.xml><?xml version="1.0" encoding="utf-8"?>
<sst xmlns="http://schemas.openxmlformats.org/spreadsheetml/2006/main" count="344" uniqueCount="234">
  <si>
    <t xml:space="preserve">MUNICÍPIO DE ESPÍRITO SANTO DO PINHAL </t>
  </si>
  <si>
    <t>ESTADO DE SÃO PAULO</t>
  </si>
  <si>
    <t>MINISTÉRIO DA EDUCAÇÃO</t>
  </si>
  <si>
    <t xml:space="preserve">Obra: </t>
  </si>
  <si>
    <t>Sala de Aula EMEB Prefeito Antonio Costa</t>
  </si>
  <si>
    <t>Município:</t>
  </si>
  <si>
    <t>ESPÍRITO SANTO DO PINHAL/SP</t>
  </si>
  <si>
    <t xml:space="preserve">Planilha Orçamentária </t>
  </si>
  <si>
    <t>ITEM</t>
  </si>
  <si>
    <t>FDE</t>
  </si>
  <si>
    <t>DESCRIÇÃO DOS SERVIÇOS</t>
  </si>
  <si>
    <t>UNID.</t>
  </si>
  <si>
    <t>QUANT.</t>
  </si>
  <si>
    <t>VALOR UNIT.</t>
  </si>
  <si>
    <t>TOTAL</t>
  </si>
  <si>
    <t>Limpeza</t>
  </si>
  <si>
    <t>Rendimento</t>
  </si>
  <si>
    <t>M³</t>
  </si>
  <si>
    <t>total</t>
  </si>
  <si>
    <t>ton</t>
  </si>
  <si>
    <t>1.1</t>
  </si>
  <si>
    <t xml:space="preserve">01.01.001 </t>
  </si>
  <si>
    <t xml:space="preserve">Retirando a vegetacao, troncos ate 5cm de diametro e raspagem. </t>
  </si>
  <si>
    <t xml:space="preserve">M2 </t>
  </si>
  <si>
    <t>Rendimento Concreto</t>
  </si>
  <si>
    <t>Cimento</t>
  </si>
  <si>
    <t>1.2</t>
  </si>
  <si>
    <t xml:space="preserve">01.06.001 </t>
  </si>
  <si>
    <t>Apiloamento para simples regularizacao</t>
  </si>
  <si>
    <t>areia m³</t>
  </si>
  <si>
    <t>1.3</t>
  </si>
  <si>
    <t>16.06.076</t>
  </si>
  <si>
    <t>Fornecimento e instalação de placas de obra</t>
  </si>
  <si>
    <t>Subtotal item 1</t>
  </si>
  <si>
    <t>pedra m³</t>
  </si>
  <si>
    <t>Infra Estrutura</t>
  </si>
  <si>
    <t>2.1</t>
  </si>
  <si>
    <t xml:space="preserve">02.01.001 </t>
  </si>
  <si>
    <t xml:space="preserve">Escavacao manual - profundidade ate 1.80 m </t>
  </si>
  <si>
    <t xml:space="preserve">M3 </t>
  </si>
  <si>
    <t>2.2</t>
  </si>
  <si>
    <t xml:space="preserve">02.01.012 </t>
  </si>
  <si>
    <t xml:space="preserve">Lastro de pedra britada - 5cm </t>
  </si>
  <si>
    <t>2.3</t>
  </si>
  <si>
    <t xml:space="preserve">02.03.001 </t>
  </si>
  <si>
    <t>Forma de madeira macica</t>
  </si>
  <si>
    <t>2.4</t>
  </si>
  <si>
    <t xml:space="preserve">02.04.002 </t>
  </si>
  <si>
    <t xml:space="preserve">Aco ca 50 (a ou b) fyk= 500 m pa </t>
  </si>
  <si>
    <t xml:space="preserve">KG </t>
  </si>
  <si>
    <t>2.5</t>
  </si>
  <si>
    <t xml:space="preserve">02.05.014 </t>
  </si>
  <si>
    <t xml:space="preserve">Concreto dosado e lançado fck=20mpa </t>
  </si>
  <si>
    <t>2.6</t>
  </si>
  <si>
    <t xml:space="preserve">02.06.021 </t>
  </si>
  <si>
    <t xml:space="preserve">Alvenaria embasamento bloco concreto estrutural 19x19x39cm classe a </t>
  </si>
  <si>
    <t>2.7</t>
  </si>
  <si>
    <t xml:space="preserve">02.07.001 </t>
  </si>
  <si>
    <t xml:space="preserve">Imperm resp alv embas com argam cim-areia 1:3 contendo hidrofugo </t>
  </si>
  <si>
    <t>Subtotal item 2</t>
  </si>
  <si>
    <t>Argamassa</t>
  </si>
  <si>
    <t xml:space="preserve"> Super Estrutura</t>
  </si>
  <si>
    <t>3.1</t>
  </si>
  <si>
    <t>chapisco</t>
  </si>
  <si>
    <t>3.2</t>
  </si>
  <si>
    <t>3.3</t>
  </si>
  <si>
    <t xml:space="preserve">03.03.014 </t>
  </si>
  <si>
    <t>Concreto dosado e lancado fck= 20 m pa</t>
  </si>
  <si>
    <t>Subtotal item 3</t>
  </si>
  <si>
    <t>Alvenaria</t>
  </si>
  <si>
    <t>4.1</t>
  </si>
  <si>
    <t xml:space="preserve">04.01.034 </t>
  </si>
  <si>
    <t xml:space="preserve">Alvenaria de bloco de concreto 19x19x39 cm classe c </t>
  </si>
  <si>
    <t>emboço</t>
  </si>
  <si>
    <t>4.3</t>
  </si>
  <si>
    <t>04.01.059</t>
  </si>
  <si>
    <t>Verga/cinta em bloco de concreto canaleta - 19 cm</t>
  </si>
  <si>
    <t xml:space="preserve">M </t>
  </si>
  <si>
    <t>Subtotal item 4</t>
  </si>
  <si>
    <t>ESQUADRIAS</t>
  </si>
  <si>
    <t>5.1</t>
  </si>
  <si>
    <t>05.01.005</t>
  </si>
  <si>
    <t>Pm-05 porta de madeira sarrafeada p/ pint. bat. madeira l=92cm</t>
  </si>
  <si>
    <t>und.</t>
  </si>
  <si>
    <t>5.2</t>
  </si>
  <si>
    <t>06.80.001</t>
  </si>
  <si>
    <t>Caixilho basculante em perfil de ferro</t>
  </si>
  <si>
    <t>m²</t>
  </si>
  <si>
    <t>06.01.025</t>
  </si>
  <si>
    <t>Subtotal item 5</t>
  </si>
  <si>
    <t>Cobertura</t>
  </si>
  <si>
    <t>6.1</t>
  </si>
  <si>
    <t>07.01.002</t>
  </si>
  <si>
    <t>Em tesouras para telhas ceramicas - vaos de 7.01 a 10.00 m</t>
  </si>
  <si>
    <t>6.2</t>
  </si>
  <si>
    <t>07.03.110</t>
  </si>
  <si>
    <t>Telha ceramica tipo romana</t>
  </si>
  <si>
    <t>reboco</t>
  </si>
  <si>
    <t>6.3</t>
  </si>
  <si>
    <t>07.04.001</t>
  </si>
  <si>
    <t>Cumeeira e espigao embocados para telha ceramica</t>
  </si>
  <si>
    <t>cal</t>
  </si>
  <si>
    <t>Subtotal item 6</t>
  </si>
  <si>
    <t xml:space="preserve">Instalaçao Eletrica </t>
  </si>
  <si>
    <t>7.1</t>
  </si>
  <si>
    <t>09.07.004</t>
  </si>
  <si>
    <t>Fio de 2,50 mm2 - 750 v de isolacao</t>
  </si>
  <si>
    <t>M</t>
  </si>
  <si>
    <t>7.2</t>
  </si>
  <si>
    <t>09.08.045</t>
  </si>
  <si>
    <t>Interruptor de 1 tecla e tomada 2p+t em caixa 4"x2" - eletrod. pvc ø 25mm amarelo.</t>
  </si>
  <si>
    <t>7.3</t>
  </si>
  <si>
    <t>09.08.046</t>
  </si>
  <si>
    <t>Tomada 2p+t padrao nbr 14136 corrente 10a-250v - eletrod. pvc ø 25mm amarelo.</t>
  </si>
  <si>
    <t>7.4</t>
  </si>
  <si>
    <t>09.09.060</t>
  </si>
  <si>
    <t>Il-60 luminaria de sobrepor c/refletor e aletas p/lamp.fluorescente (2x32w)</t>
  </si>
  <si>
    <t>Subtotal item 7</t>
  </si>
  <si>
    <t>Forro</t>
  </si>
  <si>
    <t>8.1</t>
  </si>
  <si>
    <t>10.01.082</t>
  </si>
  <si>
    <t>Forro em lâmina de pvc 200mm e = 7 ou 8mm</t>
  </si>
  <si>
    <t>M2</t>
  </si>
  <si>
    <t>Telhado</t>
  </si>
  <si>
    <t>Vigota 6x16</t>
  </si>
  <si>
    <t>Subtotal item 8</t>
  </si>
  <si>
    <t>Vigota 6x12</t>
  </si>
  <si>
    <t>Parede</t>
  </si>
  <si>
    <t>Caibro</t>
  </si>
  <si>
    <t>9.1</t>
  </si>
  <si>
    <t>12.02.002</t>
  </si>
  <si>
    <t>Chapisco</t>
  </si>
  <si>
    <t>9.2</t>
  </si>
  <si>
    <t>12.02.005</t>
  </si>
  <si>
    <t>Emboco</t>
  </si>
  <si>
    <t>9.3</t>
  </si>
  <si>
    <t>12.02.007</t>
  </si>
  <si>
    <t>Reboco</t>
  </si>
  <si>
    <t>Subtotal item 9</t>
  </si>
  <si>
    <t>Piso</t>
  </si>
  <si>
    <t>10.1</t>
  </si>
  <si>
    <t>13.01.004</t>
  </si>
  <si>
    <t>Lastro de concreto c/ hidrofugo e=5cm</t>
  </si>
  <si>
    <t>Ferragens</t>
  </si>
  <si>
    <t>10.2</t>
  </si>
  <si>
    <t>13.02.005</t>
  </si>
  <si>
    <t>Cimentado desempenado alisado e=3,50cm incl arg reg</t>
  </si>
  <si>
    <t>10.3</t>
  </si>
  <si>
    <t>13.02.069</t>
  </si>
  <si>
    <t>Porcelanato esmaltado</t>
  </si>
  <si>
    <t>Brocas</t>
  </si>
  <si>
    <t>Dimensões</t>
  </si>
  <si>
    <t>Quanti. Ferro</t>
  </si>
  <si>
    <t>Metragem</t>
  </si>
  <si>
    <t>Total de M.</t>
  </si>
  <si>
    <t>Quant. Kg</t>
  </si>
  <si>
    <t>total kg</t>
  </si>
  <si>
    <t>Subtotal item 10</t>
  </si>
  <si>
    <t>10mm</t>
  </si>
  <si>
    <t>Pilar</t>
  </si>
  <si>
    <t>Pintura</t>
  </si>
  <si>
    <t>11.1</t>
  </si>
  <si>
    <t>15.02.005</t>
  </si>
  <si>
    <t>Tinta latex economica</t>
  </si>
  <si>
    <t>5mm</t>
  </si>
  <si>
    <t>11.2</t>
  </si>
  <si>
    <t>15.04.012</t>
  </si>
  <si>
    <t>Tinta mineral impermeavel c/ nata seladora s/ bloco de concreto</t>
  </si>
  <si>
    <t>Subtotal item 11</t>
  </si>
  <si>
    <t>TABELA FDE OUTUBRO/2018</t>
  </si>
  <si>
    <t>Custo TOTAL com BDI incluso de 26,85%</t>
  </si>
  <si>
    <t>somas de CA50</t>
  </si>
  <si>
    <t>_________________________________</t>
  </si>
  <si>
    <t>Somas de CA60</t>
  </si>
  <si>
    <t>ROQUE GOMES FILHO</t>
  </si>
  <si>
    <t>Eng. Civil CREA: 0600836427</t>
  </si>
  <si>
    <t xml:space="preserve">Quantificaçao </t>
  </si>
  <si>
    <t>Descriçao</t>
  </si>
  <si>
    <t>Formula</t>
  </si>
  <si>
    <t>Quant.</t>
  </si>
  <si>
    <t>Unid.</t>
  </si>
  <si>
    <t>Acrecimo</t>
  </si>
  <si>
    <t>Total</t>
  </si>
  <si>
    <t>Perimetro do Comodo (PC)</t>
  </si>
  <si>
    <t>(L+L+L)</t>
  </si>
  <si>
    <t>m</t>
  </si>
  <si>
    <t>Area Construida (AC)</t>
  </si>
  <si>
    <t>Area total (AT)</t>
  </si>
  <si>
    <t>( 5,4*PC)</t>
  </si>
  <si>
    <t>* não costa canaletas das vergas e contravergas</t>
  </si>
  <si>
    <t>Portas (1)</t>
  </si>
  <si>
    <t>(L*A)</t>
  </si>
  <si>
    <t>Rejunte</t>
  </si>
  <si>
    <t>m³</t>
  </si>
  <si>
    <t>Janela (3)</t>
  </si>
  <si>
    <t>concreto</t>
  </si>
  <si>
    <t>kg</t>
  </si>
  <si>
    <t>Blocos (12,5 por m²)</t>
  </si>
  <si>
    <t>(AC*B)</t>
  </si>
  <si>
    <t>Cal Hidra</t>
  </si>
  <si>
    <t>Contra piso</t>
  </si>
  <si>
    <t>Canaletas</t>
  </si>
  <si>
    <t>(PC*5)+3,63</t>
  </si>
  <si>
    <t>*</t>
  </si>
  <si>
    <t>Areia media</t>
  </si>
  <si>
    <t xml:space="preserve"> Rejunte</t>
  </si>
  <si>
    <t>(Ar*AC)</t>
  </si>
  <si>
    <t>(AC*0,02*2)</t>
  </si>
  <si>
    <t>Telhas Romanas</t>
  </si>
  <si>
    <t>Embolso</t>
  </si>
  <si>
    <t>(AC*0,03*2)</t>
  </si>
  <si>
    <t>6,36+4,85</t>
  </si>
  <si>
    <t>(AC*0,05*2)</t>
  </si>
  <si>
    <t>11,21 x 8,55</t>
  </si>
  <si>
    <t>Contra Piso</t>
  </si>
  <si>
    <t>(7,5*8*0,05)</t>
  </si>
  <si>
    <t>(L*L)</t>
  </si>
  <si>
    <t>Piso Porcelanato</t>
  </si>
  <si>
    <t>(ac/4)</t>
  </si>
  <si>
    <t>L</t>
  </si>
  <si>
    <t>Impermeabilização</t>
  </si>
  <si>
    <t>(PC*0,4)</t>
  </si>
  <si>
    <t>(AC)</t>
  </si>
  <si>
    <t>Telas Romanas</t>
  </si>
  <si>
    <t>(96*16)</t>
  </si>
  <si>
    <t>Pilares</t>
  </si>
  <si>
    <t>Blocos</t>
  </si>
  <si>
    <t>Cumeeiras</t>
  </si>
  <si>
    <t>(8,5*3)</t>
  </si>
  <si>
    <t>Madeiramento</t>
  </si>
  <si>
    <t>(Pi+Bl+Br+VB+C)</t>
  </si>
  <si>
    <t>Viga Baldrame</t>
  </si>
  <si>
    <t>23,5 m</t>
  </si>
  <si>
    <t>Cinta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</si>
</sst>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(* #,##0.00_);_(* \(#,##0.00\);_(* \-??_);_(@_)"/>
    <numFmt numFmtId="167" formatCode="0.00"/>
    <numFmt numFmtId="168" formatCode="@"/>
    <numFmt numFmtId="169" formatCode="0.000"/>
    <numFmt numFmtId="170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1" fillId="0" borderId="1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0" fillId="0" borderId="0" xfId="0" applyFont="1" applyFill="1" applyAlignment="1">
      <alignment vertical="center" wrapText="1"/>
    </xf>
    <xf numFmtId="164" fontId="0" fillId="0" borderId="0" xfId="0" applyFont="1" applyAlignment="1">
      <alignment vertical="center" wrapText="1"/>
    </xf>
    <xf numFmtId="164" fontId="1" fillId="0" borderId="4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vertical="center"/>
    </xf>
    <xf numFmtId="164" fontId="1" fillId="0" borderId="7" xfId="0" applyFont="1" applyBorder="1" applyAlignment="1">
      <alignment vertical="center"/>
    </xf>
    <xf numFmtId="164" fontId="1" fillId="0" borderId="8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6" fontId="0" fillId="0" borderId="2" xfId="15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6" fontId="0" fillId="0" borderId="0" xfId="15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0" fillId="0" borderId="7" xfId="0" applyFont="1" applyBorder="1" applyAlignment="1">
      <alignment horizontal="center" vertical="center" wrapText="1"/>
    </xf>
    <xf numFmtId="166" fontId="0" fillId="0" borderId="7" xfId="15" applyFont="1" applyFill="1" applyBorder="1" applyAlignment="1" applyProtection="1">
      <alignment horizontal="center" vertical="center" wrapText="1"/>
      <protection/>
    </xf>
    <xf numFmtId="164" fontId="0" fillId="0" borderId="7" xfId="0" applyFont="1" applyBorder="1" applyAlignment="1">
      <alignment vertical="center" wrapText="1"/>
    </xf>
    <xf numFmtId="164" fontId="0" fillId="0" borderId="8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9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4" fontId="0" fillId="0" borderId="9" xfId="0" applyBorder="1" applyAlignment="1">
      <alignment vertical="center" wrapText="1"/>
    </xf>
    <xf numFmtId="164" fontId="0" fillId="0" borderId="0" xfId="0" applyBorder="1" applyAlignment="1">
      <alignment vertical="center"/>
    </xf>
    <xf numFmtId="164" fontId="3" fillId="2" borderId="9" xfId="0" applyFont="1" applyFill="1" applyBorder="1" applyAlignment="1">
      <alignment horizontal="left" vertical="center" wrapText="1"/>
    </xf>
    <xf numFmtId="164" fontId="0" fillId="2" borderId="9" xfId="0" applyFill="1" applyBorder="1" applyAlignment="1">
      <alignment horizontal="center" vertical="center" wrapText="1"/>
    </xf>
    <xf numFmtId="165" fontId="0" fillId="2" borderId="9" xfId="0" applyNumberFormat="1" applyFill="1" applyBorder="1" applyAlignment="1">
      <alignment vertical="center" wrapText="1"/>
    </xf>
    <xf numFmtId="165" fontId="0" fillId="2" borderId="9" xfId="0" applyNumberFormat="1" applyFont="1" applyFill="1" applyBorder="1" applyAlignment="1">
      <alignment vertical="center" wrapText="1"/>
    </xf>
    <xf numFmtId="165" fontId="4" fillId="2" borderId="9" xfId="0" applyNumberFormat="1" applyFont="1" applyFill="1" applyBorder="1" applyAlignment="1">
      <alignment horizontal="right" vertical="center" wrapText="1"/>
    </xf>
    <xf numFmtId="164" fontId="0" fillId="0" borderId="0" xfId="0" applyFont="1" applyAlignment="1">
      <alignment horizontal="center" vertical="center"/>
    </xf>
    <xf numFmtId="164" fontId="4" fillId="0" borderId="9" xfId="0" applyFont="1" applyBorder="1" applyAlignment="1">
      <alignment horizontal="center" vertical="center" wrapText="1"/>
    </xf>
    <xf numFmtId="164" fontId="0" fillId="0" borderId="9" xfId="0" applyFont="1" applyBorder="1" applyAlignment="1">
      <alignment wrapText="1"/>
    </xf>
    <xf numFmtId="164" fontId="0" fillId="0" borderId="9" xfId="0" applyFont="1" applyBorder="1" applyAlignment="1">
      <alignment horizontal="center" vertical="center" wrapText="1"/>
    </xf>
    <xf numFmtId="165" fontId="4" fillId="0" borderId="9" xfId="15" applyNumberFormat="1" applyFont="1" applyFill="1" applyBorder="1" applyAlignment="1" applyProtection="1">
      <alignment horizontal="center" vertical="center" wrapText="1"/>
      <protection/>
    </xf>
    <xf numFmtId="166" fontId="0" fillId="0" borderId="9" xfId="15" applyFont="1" applyFill="1" applyBorder="1" applyAlignment="1" applyProtection="1">
      <alignment horizontal="center" vertical="center" wrapText="1"/>
      <protection/>
    </xf>
    <xf numFmtId="165" fontId="3" fillId="0" borderId="9" xfId="1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0" fillId="0" borderId="0" xfId="0" applyFont="1" applyAlignment="1">
      <alignment wrapText="1"/>
    </xf>
    <xf numFmtId="164" fontId="4" fillId="0" borderId="9" xfId="0" applyFont="1" applyFill="1" applyBorder="1" applyAlignment="1">
      <alignment horizontal="left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9" xfId="0" applyFont="1" applyBorder="1" applyAlignment="1">
      <alignment vertical="center" wrapText="1"/>
    </xf>
    <xf numFmtId="164" fontId="4" fillId="0" borderId="9" xfId="0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wrapText="1"/>
    </xf>
    <xf numFmtId="165" fontId="4" fillId="0" borderId="9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wrapText="1"/>
    </xf>
    <xf numFmtId="167" fontId="0" fillId="0" borderId="0" xfId="0" applyNumberFormat="1" applyAlignment="1">
      <alignment vertical="center"/>
    </xf>
    <xf numFmtId="165" fontId="0" fillId="2" borderId="9" xfId="0" applyNumberFormat="1" applyFill="1" applyBorder="1" applyAlignment="1">
      <alignment horizontal="center" vertical="center" wrapText="1"/>
    </xf>
    <xf numFmtId="165" fontId="0" fillId="2" borderId="9" xfId="15" applyNumberFormat="1" applyFont="1" applyFill="1" applyBorder="1" applyAlignment="1" applyProtection="1">
      <alignment horizontal="center" vertical="center" wrapText="1"/>
      <protection/>
    </xf>
    <xf numFmtId="165" fontId="3" fillId="2" borderId="9" xfId="15" applyNumberFormat="1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>
      <alignment horizontal="center" vertical="center"/>
    </xf>
    <xf numFmtId="164" fontId="0" fillId="0" borderId="9" xfId="0" applyFont="1" applyBorder="1" applyAlignment="1">
      <alignment vertical="center"/>
    </xf>
    <xf numFmtId="165" fontId="0" fillId="0" borderId="9" xfId="0" applyNumberFormat="1" applyFont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left" vertical="center" wrapText="1"/>
    </xf>
    <xf numFmtId="165" fontId="0" fillId="3" borderId="9" xfId="0" applyNumberFormat="1" applyFill="1" applyBorder="1" applyAlignment="1">
      <alignment horizontal="center" vertical="center" wrapText="1"/>
    </xf>
    <xf numFmtId="165" fontId="0" fillId="3" borderId="9" xfId="15" applyNumberFormat="1" applyFont="1" applyFill="1" applyBorder="1" applyAlignment="1" applyProtection="1">
      <alignment horizontal="center" vertical="center" wrapText="1"/>
      <protection/>
    </xf>
    <xf numFmtId="165" fontId="3" fillId="3" borderId="9" xfId="15" applyNumberFormat="1" applyFont="1" applyFill="1" applyBorder="1" applyAlignment="1" applyProtection="1">
      <alignment horizontal="center" vertical="center" wrapText="1"/>
      <protection/>
    </xf>
    <xf numFmtId="165" fontId="5" fillId="0" borderId="9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6" fillId="0" borderId="9" xfId="15" applyNumberFormat="1" applyFont="1" applyFill="1" applyBorder="1" applyAlignment="1" applyProtection="1">
      <alignment horizontal="center" vertical="center"/>
      <protection/>
    </xf>
    <xf numFmtId="164" fontId="3" fillId="4" borderId="9" xfId="0" applyFont="1" applyFill="1" applyBorder="1" applyAlignment="1">
      <alignment horizontal="center" vertical="center" wrapText="1"/>
    </xf>
    <xf numFmtId="164" fontId="3" fillId="4" borderId="9" xfId="0" applyFont="1" applyFill="1" applyBorder="1" applyAlignment="1">
      <alignment horizontal="left" vertical="center" wrapText="1"/>
    </xf>
    <xf numFmtId="165" fontId="4" fillId="4" borderId="9" xfId="0" applyNumberFormat="1" applyFont="1" applyFill="1" applyBorder="1" applyAlignment="1">
      <alignment horizontal="center" vertical="center" wrapText="1"/>
    </xf>
    <xf numFmtId="165" fontId="3" fillId="4" borderId="9" xfId="15" applyNumberFormat="1" applyFont="1" applyFill="1" applyBorder="1" applyAlignment="1" applyProtection="1">
      <alignment horizontal="center" vertical="center" wrapText="1"/>
      <protection/>
    </xf>
    <xf numFmtId="164" fontId="4" fillId="5" borderId="9" xfId="0" applyFont="1" applyFill="1" applyBorder="1" applyAlignment="1">
      <alignment horizontal="center" vertical="center" wrapText="1"/>
    </xf>
    <xf numFmtId="165" fontId="4" fillId="5" borderId="9" xfId="15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 vertical="center"/>
    </xf>
    <xf numFmtId="164" fontId="0" fillId="0" borderId="0" xfId="0" applyFont="1" applyAlignment="1">
      <alignment/>
    </xf>
    <xf numFmtId="165" fontId="0" fillId="0" borderId="0" xfId="0" applyNumberFormat="1" applyBorder="1" applyAlignment="1">
      <alignment horizontal="center" vertical="center"/>
    </xf>
    <xf numFmtId="165" fontId="0" fillId="0" borderId="9" xfId="15" applyNumberFormat="1" applyFont="1" applyFill="1" applyBorder="1" applyAlignment="1" applyProtection="1">
      <alignment horizontal="center" vertical="center" wrapText="1"/>
      <protection/>
    </xf>
    <xf numFmtId="166" fontId="3" fillId="0" borderId="9" xfId="15" applyFont="1" applyFill="1" applyBorder="1" applyAlignment="1" applyProtection="1">
      <alignment horizontal="center" vertical="center" wrapText="1"/>
      <protection/>
    </xf>
    <xf numFmtId="168" fontId="1" fillId="0" borderId="10" xfId="0" applyNumberFormat="1" applyFont="1" applyFill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5" fontId="0" fillId="0" borderId="0" xfId="0" applyNumberFormat="1" applyAlignment="1">
      <alignment horizontal="center" vertical="top"/>
    </xf>
    <xf numFmtId="168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7" fontId="0" fillId="0" borderId="13" xfId="0" applyNumberFormat="1" applyBorder="1" applyAlignment="1">
      <alignment horizontal="center" vertical="center"/>
    </xf>
    <xf numFmtId="164" fontId="0" fillId="6" borderId="13" xfId="0" applyFont="1" applyFill="1" applyBorder="1" applyAlignment="1">
      <alignment horizontal="center"/>
    </xf>
    <xf numFmtId="167" fontId="0" fillId="0" borderId="13" xfId="0" applyNumberForma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3" xfId="0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/>
    </xf>
    <xf numFmtId="164" fontId="0" fillId="0" borderId="13" xfId="0" applyFont="1" applyBorder="1" applyAlignment="1">
      <alignment/>
    </xf>
    <xf numFmtId="169" fontId="0" fillId="0" borderId="13" xfId="0" applyNumberFormat="1" applyFont="1" applyBorder="1" applyAlignment="1">
      <alignment/>
    </xf>
    <xf numFmtId="164" fontId="0" fillId="0" borderId="13" xfId="0" applyFont="1" applyBorder="1" applyAlignment="1">
      <alignment wrapText="1"/>
    </xf>
    <xf numFmtId="169" fontId="0" fillId="0" borderId="13" xfId="0" applyNumberFormat="1" applyBorder="1" applyAlignment="1">
      <alignment wrapText="1"/>
    </xf>
    <xf numFmtId="167" fontId="0" fillId="0" borderId="13" xfId="0" applyNumberFormat="1" applyBorder="1" applyAlignment="1">
      <alignment/>
    </xf>
    <xf numFmtId="164" fontId="0" fillId="0" borderId="0" xfId="0" applyAlignment="1">
      <alignment/>
    </xf>
    <xf numFmtId="169" fontId="0" fillId="0" borderId="13" xfId="0" applyNumberFormat="1" applyBorder="1" applyAlignment="1">
      <alignment/>
    </xf>
    <xf numFmtId="164" fontId="0" fillId="0" borderId="0" xfId="0" applyFont="1" applyAlignment="1">
      <alignment/>
    </xf>
    <xf numFmtId="164" fontId="7" fillId="0" borderId="15" xfId="0" applyFont="1" applyBorder="1" applyAlignment="1">
      <alignment horizontal="center" vertical="top"/>
    </xf>
    <xf numFmtId="164" fontId="4" fillId="0" borderId="0" xfId="0" applyFont="1" applyBorder="1" applyAlignment="1">
      <alignment/>
    </xf>
    <xf numFmtId="170" fontId="0" fillId="0" borderId="13" xfId="0" applyNumberFormat="1" applyBorder="1" applyAlignment="1">
      <alignment/>
    </xf>
    <xf numFmtId="164" fontId="0" fillId="0" borderId="13" xfId="0" applyFont="1" applyBorder="1" applyAlignment="1">
      <alignment/>
    </xf>
    <xf numFmtId="164" fontId="0" fillId="5" borderId="13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/>
    </xf>
    <xf numFmtId="164" fontId="0" fillId="0" borderId="16" xfId="0" applyFill="1" applyBorder="1" applyAlignment="1">
      <alignment/>
    </xf>
    <xf numFmtId="164" fontId="0" fillId="0" borderId="17" xfId="0" applyFont="1" applyBorder="1" applyAlignment="1">
      <alignment horizontal="center"/>
    </xf>
    <xf numFmtId="164" fontId="0" fillId="0" borderId="17" xfId="0" applyBorder="1" applyAlignment="1">
      <alignment/>
    </xf>
    <xf numFmtId="164" fontId="0" fillId="0" borderId="17" xfId="0" applyBorder="1" applyAlignment="1">
      <alignment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133350</xdr:rowOff>
    </xdr:from>
    <xdr:to>
      <xdr:col>2</xdr:col>
      <xdr:colOff>1552575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33350"/>
          <a:ext cx="9906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95250</xdr:rowOff>
    </xdr:from>
    <xdr:to>
      <xdr:col>2</xdr:col>
      <xdr:colOff>114300</xdr:colOff>
      <xdr:row>2</xdr:row>
      <xdr:rowOff>219075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5250"/>
          <a:ext cx="1057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workbookViewId="0" topLeftCell="A56">
      <selection activeCell="A15" sqref="A15"/>
    </sheetView>
  </sheetViews>
  <sheetFormatPr defaultColWidth="8.00390625" defaultRowHeight="12.75"/>
  <cols>
    <col min="1" max="1" width="6.57421875" style="1" customWidth="1"/>
    <col min="2" max="2" width="11.421875" style="1" customWidth="1"/>
    <col min="3" max="3" width="54.7109375" style="1" customWidth="1"/>
    <col min="4" max="4" width="5.421875" style="1" customWidth="1"/>
    <col min="5" max="5" width="11.421875" style="2" customWidth="1"/>
    <col min="6" max="6" width="12.00390625" style="2" customWidth="1"/>
    <col min="7" max="7" width="9.8515625" style="2" customWidth="1"/>
    <col min="8" max="8" width="8.7109375" style="1" hidden="1" customWidth="1"/>
    <col min="9" max="13" width="8.8515625" style="1" customWidth="1"/>
    <col min="14" max="14" width="10.7109375" style="1" customWidth="1"/>
    <col min="15" max="15" width="10.8515625" style="1" customWidth="1"/>
    <col min="16" max="16" width="12.28125" style="1" customWidth="1"/>
    <col min="17" max="240" width="8.8515625" style="1" customWidth="1"/>
    <col min="241" max="16384" width="8.7109375" style="0" customWidth="1"/>
  </cols>
  <sheetData>
    <row r="1" spans="1:8" s="7" customFormat="1" ht="14.25">
      <c r="A1" s="3"/>
      <c r="B1" s="4"/>
      <c r="C1" s="5" t="s">
        <v>0</v>
      </c>
      <c r="D1" s="5"/>
      <c r="E1" s="5"/>
      <c r="F1" s="5"/>
      <c r="G1" s="5"/>
      <c r="H1" s="6"/>
    </row>
    <row r="2" spans="1:8" s="7" customFormat="1" ht="37.5" customHeight="1">
      <c r="A2" s="8"/>
      <c r="B2" s="9"/>
      <c r="C2" s="10" t="s">
        <v>1</v>
      </c>
      <c r="D2" s="10"/>
      <c r="E2" s="10"/>
      <c r="F2" s="10"/>
      <c r="G2" s="10"/>
      <c r="H2" s="6"/>
    </row>
    <row r="3" spans="1:8" s="7" customFormat="1" ht="33.75" customHeight="1">
      <c r="A3" s="11"/>
      <c r="B3" s="12"/>
      <c r="C3" s="13" t="s">
        <v>2</v>
      </c>
      <c r="D3" s="13"/>
      <c r="E3" s="13"/>
      <c r="F3" s="13"/>
      <c r="G3" s="13"/>
      <c r="H3" s="6"/>
    </row>
    <row r="4" spans="1:8" s="7" customFormat="1" ht="14.25">
      <c r="A4" s="14" t="s">
        <v>3</v>
      </c>
      <c r="B4" s="14"/>
      <c r="C4" s="15" t="s">
        <v>4</v>
      </c>
      <c r="D4" s="16"/>
      <c r="E4" s="17"/>
      <c r="F4" s="15"/>
      <c r="G4" s="18"/>
      <c r="H4" s="6"/>
    </row>
    <row r="5" spans="1:8" s="7" customFormat="1" ht="14.25">
      <c r="A5" s="19" t="s">
        <v>5</v>
      </c>
      <c r="B5" s="19"/>
      <c r="C5" s="20" t="s">
        <v>6</v>
      </c>
      <c r="D5" s="21"/>
      <c r="E5" s="22"/>
      <c r="F5" s="20"/>
      <c r="G5" s="23"/>
      <c r="H5" s="6"/>
    </row>
    <row r="6" spans="1:8" s="7" customFormat="1" ht="14.25">
      <c r="A6" s="11"/>
      <c r="B6" s="12"/>
      <c r="C6" s="24"/>
      <c r="D6" s="25"/>
      <c r="E6" s="26"/>
      <c r="F6" s="24"/>
      <c r="G6" s="27"/>
      <c r="H6" s="6"/>
    </row>
    <row r="7" spans="1:8" s="7" customFormat="1" ht="14.25">
      <c r="A7" s="28"/>
      <c r="C7" s="29"/>
      <c r="D7" s="21"/>
      <c r="G7" s="23"/>
      <c r="H7" s="6"/>
    </row>
    <row r="8" spans="1:8" s="7" customFormat="1" ht="15.75">
      <c r="A8" s="30" t="s">
        <v>7</v>
      </c>
      <c r="B8" s="30"/>
      <c r="C8" s="30"/>
      <c r="D8" s="30"/>
      <c r="E8" s="30"/>
      <c r="F8" s="30"/>
      <c r="G8" s="30"/>
      <c r="H8" s="6"/>
    </row>
    <row r="9" spans="1:7" ht="13.5" customHeight="1">
      <c r="A9" s="31"/>
      <c r="B9" s="32"/>
      <c r="C9" s="32"/>
      <c r="D9" s="32"/>
      <c r="E9" s="32"/>
      <c r="F9" s="32"/>
      <c r="G9" s="33"/>
    </row>
    <row r="10" spans="1:7" ht="24" customHeight="1">
      <c r="A10" s="34" t="s">
        <v>8</v>
      </c>
      <c r="B10" s="34" t="s">
        <v>9</v>
      </c>
      <c r="C10" s="34" t="s">
        <v>10</v>
      </c>
      <c r="D10" s="34" t="s">
        <v>11</v>
      </c>
      <c r="E10" s="35" t="s">
        <v>12</v>
      </c>
      <c r="F10" s="35" t="s">
        <v>13</v>
      </c>
      <c r="G10" s="35" t="s">
        <v>14</v>
      </c>
    </row>
    <row r="11" spans="1:8" ht="13.5" customHeight="1">
      <c r="A11" s="36"/>
      <c r="B11" s="36"/>
      <c r="C11" s="36"/>
      <c r="D11" s="36"/>
      <c r="E11" s="36"/>
      <c r="F11" s="36"/>
      <c r="G11" s="36"/>
      <c r="H11" s="37"/>
    </row>
    <row r="12" spans="1:19" ht="14.25">
      <c r="A12" s="34">
        <v>1</v>
      </c>
      <c r="B12" s="34"/>
      <c r="C12" s="38" t="s">
        <v>15</v>
      </c>
      <c r="D12" s="39"/>
      <c r="E12" s="40"/>
      <c r="F12" s="41"/>
      <c r="G12" s="42"/>
      <c r="P12" s="43" t="s">
        <v>16</v>
      </c>
      <c r="Q12" s="43" t="s">
        <v>17</v>
      </c>
      <c r="R12" s="43" t="s">
        <v>18</v>
      </c>
      <c r="S12" s="1" t="s">
        <v>19</v>
      </c>
    </row>
    <row r="13" spans="1:18" ht="14.25" customHeight="1">
      <c r="A13" s="44" t="s">
        <v>20</v>
      </c>
      <c r="B13" s="45" t="s">
        <v>21</v>
      </c>
      <c r="C13" s="45" t="s">
        <v>22</v>
      </c>
      <c r="D13" s="46" t="s">
        <v>23</v>
      </c>
      <c r="E13" s="47">
        <v>80</v>
      </c>
      <c r="F13" s="48"/>
      <c r="G13" s="49">
        <f aca="true" t="shared" si="0" ref="G13:G15">ROUND(E13*F13,2)</f>
        <v>0</v>
      </c>
      <c r="N13" s="50" t="s">
        <v>24</v>
      </c>
      <c r="O13" s="43" t="s">
        <v>25</v>
      </c>
      <c r="P13" s="51">
        <v>5.94</v>
      </c>
      <c r="Q13" s="52">
        <v>12.5</v>
      </c>
      <c r="R13" s="52">
        <f aca="true" t="shared" si="1" ref="R13:R14">ROUND(P13*Q13,2)</f>
        <v>74.25</v>
      </c>
    </row>
    <row r="14" spans="1:19" ht="14.25">
      <c r="A14" s="44" t="s">
        <v>26</v>
      </c>
      <c r="B14" s="45" t="s">
        <v>27</v>
      </c>
      <c r="C14" s="45" t="s">
        <v>28</v>
      </c>
      <c r="D14" s="46" t="s">
        <v>23</v>
      </c>
      <c r="E14" s="47">
        <v>80</v>
      </c>
      <c r="F14" s="48"/>
      <c r="G14" s="49">
        <f t="shared" si="0"/>
        <v>0</v>
      </c>
      <c r="N14" s="50"/>
      <c r="O14" s="43" t="s">
        <v>29</v>
      </c>
      <c r="P14" s="51">
        <v>0.47900000000000004</v>
      </c>
      <c r="Q14" s="52">
        <v>12.5</v>
      </c>
      <c r="R14" s="52">
        <f t="shared" si="1"/>
        <v>5.99</v>
      </c>
      <c r="S14" s="53">
        <f>R14*0.612</f>
        <v>3.66588</v>
      </c>
    </row>
    <row r="15" spans="1:19" ht="14.25">
      <c r="A15" s="44" t="s">
        <v>30</v>
      </c>
      <c r="B15" s="45" t="s">
        <v>31</v>
      </c>
      <c r="C15" s="45" t="s">
        <v>32</v>
      </c>
      <c r="D15" s="46" t="s">
        <v>23</v>
      </c>
      <c r="E15" s="47">
        <v>4.5</v>
      </c>
      <c r="F15" s="48"/>
      <c r="G15" s="49">
        <f t="shared" si="0"/>
        <v>0</v>
      </c>
      <c r="N15" s="50"/>
      <c r="O15" s="43"/>
      <c r="P15" s="51"/>
      <c r="Q15" s="52"/>
      <c r="R15" s="52"/>
      <c r="S15" s="53"/>
    </row>
    <row r="16" spans="1:19" ht="14.25" customHeight="1">
      <c r="A16" s="44"/>
      <c r="B16" s="44"/>
      <c r="C16" s="54"/>
      <c r="D16" s="55"/>
      <c r="E16" s="49" t="s">
        <v>33</v>
      </c>
      <c r="F16" s="49"/>
      <c r="G16" s="49">
        <f>SUM(G13:G15)</f>
        <v>0</v>
      </c>
      <c r="N16" s="43"/>
      <c r="O16" s="43" t="s">
        <v>34</v>
      </c>
      <c r="P16" s="51">
        <v>0.63</v>
      </c>
      <c r="Q16" s="52">
        <v>12.5</v>
      </c>
      <c r="R16" s="52">
        <f>ROUND(P16*Q16,2)</f>
        <v>7.88</v>
      </c>
      <c r="S16" s="1">
        <f>R16*0.653</f>
        <v>5.14564</v>
      </c>
    </row>
    <row r="17" spans="1:18" ht="14.25">
      <c r="A17" s="34">
        <v>2</v>
      </c>
      <c r="B17" s="34"/>
      <c r="C17" s="38" t="s">
        <v>35</v>
      </c>
      <c r="D17" s="34" t="s">
        <v>11</v>
      </c>
      <c r="E17" s="35" t="s">
        <v>12</v>
      </c>
      <c r="F17" s="35"/>
      <c r="G17" s="35" t="s">
        <v>14</v>
      </c>
      <c r="N17" s="43"/>
      <c r="O17"/>
      <c r="P17"/>
      <c r="Q17"/>
      <c r="R17"/>
    </row>
    <row r="18" spans="1:19" ht="14.25">
      <c r="A18" s="44" t="s">
        <v>36</v>
      </c>
      <c r="B18" s="45" t="s">
        <v>37</v>
      </c>
      <c r="C18" s="45" t="s">
        <v>38</v>
      </c>
      <c r="D18" s="46" t="s">
        <v>39</v>
      </c>
      <c r="E18" s="47">
        <v>6.5</v>
      </c>
      <c r="F18" s="48"/>
      <c r="G18" s="49">
        <f aca="true" t="shared" si="2" ref="G18:G24">ROUND(E18*F18,2)</f>
        <v>0</v>
      </c>
      <c r="P18" s="56"/>
      <c r="Q18" s="56"/>
      <c r="R18" s="56"/>
      <c r="S18" s="53"/>
    </row>
    <row r="19" spans="1:18" ht="14.25">
      <c r="A19" s="44" t="s">
        <v>40</v>
      </c>
      <c r="B19" s="45" t="s">
        <v>41</v>
      </c>
      <c r="C19" s="45" t="s">
        <v>42</v>
      </c>
      <c r="D19" s="46" t="s">
        <v>23</v>
      </c>
      <c r="E19" s="47">
        <v>1.15</v>
      </c>
      <c r="F19" s="48"/>
      <c r="G19" s="49">
        <f t="shared" si="2"/>
        <v>0</v>
      </c>
      <c r="P19" s="43"/>
      <c r="Q19" s="43"/>
      <c r="R19" s="43"/>
    </row>
    <row r="20" spans="1:18" ht="14.25">
      <c r="A20" s="44" t="s">
        <v>43</v>
      </c>
      <c r="B20" s="45" t="s">
        <v>44</v>
      </c>
      <c r="C20" s="45" t="s">
        <v>45</v>
      </c>
      <c r="D20" s="46" t="s">
        <v>23</v>
      </c>
      <c r="E20" s="47">
        <v>19.8</v>
      </c>
      <c r="F20" s="48"/>
      <c r="G20" s="49">
        <f t="shared" si="2"/>
        <v>0</v>
      </c>
      <c r="P20" s="43"/>
      <c r="Q20" s="43"/>
      <c r="R20" s="43"/>
    </row>
    <row r="21" spans="1:18" ht="14.25">
      <c r="A21" s="44" t="s">
        <v>46</v>
      </c>
      <c r="B21" s="45" t="s">
        <v>47</v>
      </c>
      <c r="C21" s="45" t="s">
        <v>48</v>
      </c>
      <c r="D21" s="46" t="s">
        <v>49</v>
      </c>
      <c r="E21" s="47">
        <v>414</v>
      </c>
      <c r="F21" s="48"/>
      <c r="G21" s="49">
        <f t="shared" si="2"/>
        <v>0</v>
      </c>
      <c r="P21" s="43"/>
      <c r="Q21" s="43"/>
      <c r="R21" s="43"/>
    </row>
    <row r="22" spans="1:18" ht="14.25">
      <c r="A22" s="44" t="s">
        <v>50</v>
      </c>
      <c r="B22" s="45" t="s">
        <v>51</v>
      </c>
      <c r="C22" s="45" t="s">
        <v>52</v>
      </c>
      <c r="D22" s="46" t="s">
        <v>39</v>
      </c>
      <c r="E22" s="47">
        <v>4.6</v>
      </c>
      <c r="F22" s="48"/>
      <c r="G22" s="49">
        <f t="shared" si="2"/>
        <v>0</v>
      </c>
      <c r="P22" s="43"/>
      <c r="Q22" s="43"/>
      <c r="R22" s="43"/>
    </row>
    <row r="23" spans="1:18" ht="24.75">
      <c r="A23" s="44" t="s">
        <v>53</v>
      </c>
      <c r="B23" s="57" t="s">
        <v>54</v>
      </c>
      <c r="C23" s="45" t="s">
        <v>55</v>
      </c>
      <c r="D23" s="46" t="s">
        <v>23</v>
      </c>
      <c r="E23" s="47">
        <v>4.6</v>
      </c>
      <c r="F23" s="48"/>
      <c r="G23" s="49">
        <f t="shared" si="2"/>
        <v>0</v>
      </c>
      <c r="P23" s="43"/>
      <c r="Q23" s="43"/>
      <c r="R23" s="43"/>
    </row>
    <row r="24" spans="1:18" ht="24.75">
      <c r="A24" s="44" t="s">
        <v>56</v>
      </c>
      <c r="B24" s="57" t="s">
        <v>57</v>
      </c>
      <c r="C24" s="45" t="s">
        <v>58</v>
      </c>
      <c r="D24" s="46" t="s">
        <v>23</v>
      </c>
      <c r="E24" s="47">
        <v>1.4</v>
      </c>
      <c r="F24" s="48"/>
      <c r="G24" s="49">
        <f t="shared" si="2"/>
        <v>0</v>
      </c>
      <c r="P24" s="43"/>
      <c r="Q24" s="43"/>
      <c r="R24" s="43"/>
    </row>
    <row r="25" spans="1:18" ht="12.75" customHeight="1">
      <c r="A25" s="44"/>
      <c r="B25" s="44"/>
      <c r="C25" s="58"/>
      <c r="D25" s="59"/>
      <c r="E25" s="49" t="s">
        <v>59</v>
      </c>
      <c r="F25" s="49"/>
      <c r="G25" s="49">
        <f>SUM(G18:G24)</f>
        <v>0</v>
      </c>
      <c r="N25" s="1" t="s">
        <v>60</v>
      </c>
      <c r="O25" s="43" t="s">
        <v>25</v>
      </c>
      <c r="P25" s="60">
        <v>4.8</v>
      </c>
      <c r="Q25" s="52">
        <v>11</v>
      </c>
      <c r="R25" s="52">
        <f>ROUND(P25*Q25,2)</f>
        <v>52.8</v>
      </c>
    </row>
    <row r="26" spans="1:19" ht="14.25" customHeight="1">
      <c r="A26" s="34">
        <v>3</v>
      </c>
      <c r="B26" s="34"/>
      <c r="C26" s="38" t="s">
        <v>61</v>
      </c>
      <c r="D26" s="34" t="s">
        <v>11</v>
      </c>
      <c r="E26" s="35" t="s">
        <v>12</v>
      </c>
      <c r="F26" s="35"/>
      <c r="G26" s="35" t="s">
        <v>14</v>
      </c>
      <c r="P26" s="43" t="s">
        <v>16</v>
      </c>
      <c r="Q26" s="43" t="s">
        <v>17</v>
      </c>
      <c r="R26" s="43" t="s">
        <v>18</v>
      </c>
      <c r="S26" s="1" t="s">
        <v>19</v>
      </c>
    </row>
    <row r="27" spans="1:20" ht="14.25">
      <c r="A27" s="44" t="s">
        <v>62</v>
      </c>
      <c r="B27" s="45" t="s">
        <v>44</v>
      </c>
      <c r="C27" s="45" t="s">
        <v>45</v>
      </c>
      <c r="D27" s="46" t="s">
        <v>23</v>
      </c>
      <c r="E27" s="61">
        <v>13.8</v>
      </c>
      <c r="F27" s="48"/>
      <c r="G27" s="49">
        <f aca="true" t="shared" si="3" ref="G27:G29">ROUND(E27*F27,2)</f>
        <v>0</v>
      </c>
      <c r="N27" t="s">
        <v>63</v>
      </c>
      <c r="O27" s="43" t="s">
        <v>25</v>
      </c>
      <c r="P27" s="52">
        <v>7.4</v>
      </c>
      <c r="Q27" s="43">
        <v>0.966</v>
      </c>
      <c r="R27" s="52">
        <f aca="true" t="shared" si="4" ref="R27:R28">ROUND(P27*Q27,2)</f>
        <v>7.15</v>
      </c>
      <c r="T27" s="1" t="e">
        <f>ROUND(#REF!+R28+R39+R43,2)</f>
        <v>#REF!</v>
      </c>
    </row>
    <row r="28" spans="1:20" ht="14.25">
      <c r="A28" s="44" t="s">
        <v>64</v>
      </c>
      <c r="B28" s="45" t="s">
        <v>47</v>
      </c>
      <c r="C28" s="45" t="s">
        <v>48</v>
      </c>
      <c r="D28" s="46" t="s">
        <v>49</v>
      </c>
      <c r="E28" s="61">
        <v>243</v>
      </c>
      <c r="F28" s="48"/>
      <c r="G28" s="49">
        <f t="shared" si="3"/>
        <v>0</v>
      </c>
      <c r="O28" s="43" t="s">
        <v>29</v>
      </c>
      <c r="P28" s="52">
        <v>1.1</v>
      </c>
      <c r="Q28" s="43">
        <v>0.966</v>
      </c>
      <c r="R28" s="52">
        <f t="shared" si="4"/>
        <v>1.06</v>
      </c>
      <c r="S28" s="53">
        <f>R28*0.612</f>
        <v>0.6487200000000001</v>
      </c>
      <c r="T28" s="1" t="e">
        <f>ROUND(#REF!+#REF!+R42,2)</f>
        <v>#REF!</v>
      </c>
    </row>
    <row r="29" spans="1:18" ht="14.25">
      <c r="A29" s="44" t="s">
        <v>65</v>
      </c>
      <c r="B29" s="45" t="s">
        <v>66</v>
      </c>
      <c r="C29" s="45" t="s">
        <v>67</v>
      </c>
      <c r="D29" s="46" t="s">
        <v>39</v>
      </c>
      <c r="E29" s="61">
        <v>2.7</v>
      </c>
      <c r="F29" s="48"/>
      <c r="G29" s="49">
        <f t="shared" si="3"/>
        <v>0</v>
      </c>
      <c r="P29" s="52"/>
      <c r="Q29" s="43"/>
      <c r="R29" s="43"/>
    </row>
    <row r="30" spans="1:18" ht="14.25" customHeight="1">
      <c r="A30" s="44"/>
      <c r="B30" s="44"/>
      <c r="C30" s="58"/>
      <c r="D30" s="59"/>
      <c r="E30" s="49" t="s">
        <v>68</v>
      </c>
      <c r="F30" s="49"/>
      <c r="G30" s="49">
        <f>SUM(G27:G29)</f>
        <v>0</v>
      </c>
      <c r="P30" s="52"/>
      <c r="Q30" s="43"/>
      <c r="R30" s="43"/>
    </row>
    <row r="31" spans="1:19" ht="14.25" customHeight="1">
      <c r="A31" s="34">
        <v>4</v>
      </c>
      <c r="B31" s="34"/>
      <c r="C31" s="38" t="s">
        <v>69</v>
      </c>
      <c r="D31" s="34" t="s">
        <v>11</v>
      </c>
      <c r="E31" s="35" t="s">
        <v>12</v>
      </c>
      <c r="F31" s="35"/>
      <c r="G31" s="35" t="s">
        <v>14</v>
      </c>
      <c r="P31" s="43" t="s">
        <v>16</v>
      </c>
      <c r="Q31" s="43" t="s">
        <v>17</v>
      </c>
      <c r="R31" s="43" t="s">
        <v>18</v>
      </c>
      <c r="S31" s="1" t="s">
        <v>19</v>
      </c>
    </row>
    <row r="32" spans="1:19" ht="14.25">
      <c r="A32" s="44" t="s">
        <v>70</v>
      </c>
      <c r="B32" s="45" t="s">
        <v>71</v>
      </c>
      <c r="C32" s="45" t="s">
        <v>72</v>
      </c>
      <c r="D32" s="46" t="s">
        <v>23</v>
      </c>
      <c r="E32" s="61">
        <v>96.6</v>
      </c>
      <c r="F32" s="48"/>
      <c r="G32" s="49">
        <f aca="true" t="shared" si="5" ref="G32:G33">ROUND(E32*F32,2)</f>
        <v>0</v>
      </c>
      <c r="N32" s="1" t="s">
        <v>73</v>
      </c>
      <c r="O32" s="43" t="s">
        <v>25</v>
      </c>
      <c r="P32" s="60">
        <v>4.9</v>
      </c>
      <c r="Q32" s="62">
        <v>1.5750000000000002</v>
      </c>
      <c r="R32" s="52">
        <f>ROUND(P32*Q32,2)</f>
        <v>7.72</v>
      </c>
      <c r="S32" s="63"/>
    </row>
    <row r="33" spans="1:18" ht="14.25">
      <c r="A33" s="44" t="s">
        <v>74</v>
      </c>
      <c r="B33" s="45" t="s">
        <v>75</v>
      </c>
      <c r="C33" s="45" t="s">
        <v>76</v>
      </c>
      <c r="D33" s="46" t="s">
        <v>77</v>
      </c>
      <c r="E33" s="61">
        <v>70</v>
      </c>
      <c r="F33" s="48"/>
      <c r="G33" s="49">
        <f t="shared" si="5"/>
        <v>0</v>
      </c>
      <c r="O33" s="43"/>
      <c r="P33" s="60"/>
      <c r="Q33" s="62"/>
      <c r="R33" s="52"/>
    </row>
    <row r="34" spans="1:18" ht="14.25" customHeight="1">
      <c r="A34" s="44"/>
      <c r="B34" s="44"/>
      <c r="C34" s="58"/>
      <c r="D34" s="59"/>
      <c r="E34" s="49" t="s">
        <v>78</v>
      </c>
      <c r="F34" s="49"/>
      <c r="G34" s="49">
        <f>SUM(G32:G33)</f>
        <v>0</v>
      </c>
      <c r="O34" s="43"/>
      <c r="P34" s="60"/>
      <c r="Q34" s="62"/>
      <c r="R34" s="52"/>
    </row>
    <row r="35" spans="1:18" ht="14.25" customHeight="1">
      <c r="A35" s="34">
        <v>5</v>
      </c>
      <c r="B35" s="34"/>
      <c r="C35" s="38" t="s">
        <v>79</v>
      </c>
      <c r="D35" s="64"/>
      <c r="E35" s="65"/>
      <c r="F35" s="65"/>
      <c r="G35" s="66"/>
      <c r="O35" s="43"/>
      <c r="P35" s="60"/>
      <c r="Q35" s="62"/>
      <c r="R35" s="52"/>
    </row>
    <row r="36" spans="1:18" ht="23.25" customHeight="1">
      <c r="A36" s="67" t="s">
        <v>80</v>
      </c>
      <c r="B36" s="68" t="s">
        <v>81</v>
      </c>
      <c r="C36" s="57" t="s">
        <v>82</v>
      </c>
      <c r="D36" s="69" t="s">
        <v>83</v>
      </c>
      <c r="E36" s="61">
        <v>1</v>
      </c>
      <c r="F36" s="48"/>
      <c r="G36" s="49">
        <f aca="true" t="shared" si="6" ref="G36:G37">ROUND(E36*F36,2)</f>
        <v>0</v>
      </c>
      <c r="O36" s="43"/>
      <c r="P36" s="60"/>
      <c r="Q36" s="62"/>
      <c r="R36" s="52"/>
    </row>
    <row r="37" spans="1:18" ht="23.25" customHeight="1">
      <c r="A37" s="67" t="s">
        <v>84</v>
      </c>
      <c r="B37" s="68" t="s">
        <v>85</v>
      </c>
      <c r="C37" s="57" t="s">
        <v>86</v>
      </c>
      <c r="D37" s="69" t="s">
        <v>87</v>
      </c>
      <c r="E37" s="61">
        <v>7.2</v>
      </c>
      <c r="F37" s="48"/>
      <c r="G37" s="49">
        <f t="shared" si="6"/>
        <v>0</v>
      </c>
      <c r="O37" s="43"/>
      <c r="P37" s="60"/>
      <c r="Q37" s="62"/>
      <c r="R37" s="52"/>
    </row>
    <row r="38" spans="1:18" ht="14.25" customHeight="1">
      <c r="A38" s="44"/>
      <c r="B38" s="44" t="s">
        <v>88</v>
      </c>
      <c r="C38" s="54"/>
      <c r="D38" s="55"/>
      <c r="E38" s="49" t="s">
        <v>89</v>
      </c>
      <c r="F38" s="49"/>
      <c r="G38" s="49">
        <f>SUM(G36:G37)</f>
        <v>0</v>
      </c>
      <c r="O38" s="43"/>
      <c r="P38" s="60"/>
      <c r="Q38" s="62"/>
      <c r="R38" s="52"/>
    </row>
    <row r="39" spans="1:19" ht="14.25" customHeight="1">
      <c r="A39" s="70">
        <v>6</v>
      </c>
      <c r="B39" s="70"/>
      <c r="C39" s="71" t="s">
        <v>90</v>
      </c>
      <c r="D39" s="72"/>
      <c r="E39" s="73"/>
      <c r="F39" s="73"/>
      <c r="G39" s="74"/>
      <c r="O39" s="43" t="s">
        <v>29</v>
      </c>
      <c r="P39" s="52">
        <v>1.1</v>
      </c>
      <c r="Q39" s="62">
        <v>3.575</v>
      </c>
      <c r="R39" s="52">
        <f>ROUND(P39*Q39,2)</f>
        <v>3.93</v>
      </c>
      <c r="S39" s="53">
        <f>R39*0.612</f>
        <v>2.40516</v>
      </c>
    </row>
    <row r="40" spans="1:19" ht="14.25">
      <c r="A40" s="67" t="s">
        <v>91</v>
      </c>
      <c r="B40" s="45" t="s">
        <v>92</v>
      </c>
      <c r="C40" s="45" t="s">
        <v>93</v>
      </c>
      <c r="D40" s="46" t="s">
        <v>23</v>
      </c>
      <c r="E40" s="75">
        <v>83.08</v>
      </c>
      <c r="F40" s="48"/>
      <c r="G40" s="49">
        <f aca="true" t="shared" si="7" ref="G40:G42">ROUND(E40*F40,2)</f>
        <v>0</v>
      </c>
      <c r="P40" s="43" t="s">
        <v>16</v>
      </c>
      <c r="Q40" s="43" t="s">
        <v>17</v>
      </c>
      <c r="R40" s="43" t="s">
        <v>18</v>
      </c>
      <c r="S40" s="1" t="s">
        <v>19</v>
      </c>
    </row>
    <row r="41" spans="1:18" ht="14.25">
      <c r="A41" s="67" t="s">
        <v>94</v>
      </c>
      <c r="B41" s="45" t="s">
        <v>95</v>
      </c>
      <c r="C41" s="45" t="s">
        <v>96</v>
      </c>
      <c r="D41" s="46" t="s">
        <v>23</v>
      </c>
      <c r="E41" s="75">
        <v>94</v>
      </c>
      <c r="F41" s="48"/>
      <c r="G41" s="49">
        <f t="shared" si="7"/>
        <v>0</v>
      </c>
      <c r="N41" s="1" t="s">
        <v>97</v>
      </c>
      <c r="O41" s="43" t="s">
        <v>25</v>
      </c>
      <c r="P41" s="62">
        <v>3.3</v>
      </c>
      <c r="Q41" s="43">
        <v>0.966</v>
      </c>
      <c r="R41" s="52">
        <f aca="true" t="shared" si="8" ref="R41:R42">ROUND(P41*Q41,2)</f>
        <v>3.19</v>
      </c>
    </row>
    <row r="42" spans="1:18" ht="14.25">
      <c r="A42" s="67" t="s">
        <v>98</v>
      </c>
      <c r="B42" s="45" t="s">
        <v>99</v>
      </c>
      <c r="C42" s="45" t="s">
        <v>100</v>
      </c>
      <c r="D42" s="46" t="s">
        <v>77</v>
      </c>
      <c r="E42" s="75">
        <v>8.5</v>
      </c>
      <c r="F42" s="48"/>
      <c r="G42" s="49">
        <f t="shared" si="7"/>
        <v>0</v>
      </c>
      <c r="O42" s="43" t="s">
        <v>101</v>
      </c>
      <c r="P42" s="62">
        <v>7.8</v>
      </c>
      <c r="Q42" s="43">
        <v>0.966</v>
      </c>
      <c r="R42" s="52">
        <f t="shared" si="8"/>
        <v>7.53</v>
      </c>
    </row>
    <row r="43" spans="1:18" ht="14.25" customHeight="1">
      <c r="A43" s="44"/>
      <c r="B43" s="44"/>
      <c r="C43" s="44"/>
      <c r="D43" s="44"/>
      <c r="E43" s="49" t="s">
        <v>102</v>
      </c>
      <c r="F43" s="49"/>
      <c r="G43" s="49">
        <f>SUM(G40:G42)</f>
        <v>0</v>
      </c>
      <c r="O43" s="43"/>
      <c r="P43" s="62"/>
      <c r="Q43" s="43"/>
      <c r="R43" s="52"/>
    </row>
    <row r="44" spans="1:19" ht="14.25">
      <c r="A44" s="70">
        <v>7</v>
      </c>
      <c r="B44" s="70"/>
      <c r="C44" s="71" t="s">
        <v>103</v>
      </c>
      <c r="D44" s="72"/>
      <c r="E44" s="73"/>
      <c r="F44" s="73"/>
      <c r="G44" s="74"/>
      <c r="P44" s="43" t="s">
        <v>16</v>
      </c>
      <c r="Q44" s="43" t="s">
        <v>17</v>
      </c>
      <c r="R44" s="43" t="s">
        <v>18</v>
      </c>
      <c r="S44" s="1" t="s">
        <v>19</v>
      </c>
    </row>
    <row r="45" spans="1:18" ht="14.25" customHeight="1">
      <c r="A45" s="44" t="s">
        <v>104</v>
      </c>
      <c r="B45" s="45" t="s">
        <v>105</v>
      </c>
      <c r="C45" s="45" t="s">
        <v>106</v>
      </c>
      <c r="D45" s="76" t="s">
        <v>107</v>
      </c>
      <c r="E45" s="61">
        <v>25</v>
      </c>
      <c r="F45" s="48"/>
      <c r="G45" s="49">
        <f aca="true" t="shared" si="9" ref="G45:G48">ROUND(E45*F45,2)</f>
        <v>0</v>
      </c>
      <c r="N45" s="50" t="s">
        <v>24</v>
      </c>
      <c r="O45" s="43" t="s">
        <v>25</v>
      </c>
      <c r="P45" s="51">
        <v>5.94</v>
      </c>
      <c r="Q45" s="52">
        <v>3</v>
      </c>
      <c r="R45" s="52">
        <f aca="true" t="shared" si="10" ref="R45:R47">ROUND(P45*Q45,2)</f>
        <v>17.82</v>
      </c>
    </row>
    <row r="46" spans="1:19" ht="24.75">
      <c r="A46" s="44" t="s">
        <v>108</v>
      </c>
      <c r="B46" s="45" t="s">
        <v>109</v>
      </c>
      <c r="C46" s="45" t="s">
        <v>110</v>
      </c>
      <c r="D46" s="76" t="s">
        <v>83</v>
      </c>
      <c r="E46" s="61">
        <v>1</v>
      </c>
      <c r="F46" s="48"/>
      <c r="G46" s="49">
        <f t="shared" si="9"/>
        <v>0</v>
      </c>
      <c r="N46" s="50"/>
      <c r="O46" s="43" t="s">
        <v>29</v>
      </c>
      <c r="P46" s="51">
        <v>0.47900000000000004</v>
      </c>
      <c r="Q46" s="52">
        <v>3</v>
      </c>
      <c r="R46" s="52">
        <f t="shared" si="10"/>
        <v>1.44</v>
      </c>
      <c r="S46" s="53">
        <f>R46*0.612</f>
        <v>0.88128</v>
      </c>
    </row>
    <row r="47" spans="1:19" ht="23.25" customHeight="1">
      <c r="A47" s="44" t="s">
        <v>111</v>
      </c>
      <c r="B47" s="45" t="s">
        <v>112</v>
      </c>
      <c r="C47" s="45" t="s">
        <v>113</v>
      </c>
      <c r="D47" s="59" t="s">
        <v>83</v>
      </c>
      <c r="E47" s="47">
        <v>4</v>
      </c>
      <c r="F47" s="48"/>
      <c r="G47" s="49">
        <f t="shared" si="9"/>
        <v>0</v>
      </c>
      <c r="N47" s="43"/>
      <c r="O47" s="43" t="s">
        <v>34</v>
      </c>
      <c r="P47" s="51">
        <v>0.63</v>
      </c>
      <c r="Q47" s="52">
        <v>3</v>
      </c>
      <c r="R47" s="52">
        <f t="shared" si="10"/>
        <v>1.89</v>
      </c>
      <c r="S47" s="1">
        <f>R47*0.653</f>
        <v>1.23417</v>
      </c>
    </row>
    <row r="48" spans="1:18" ht="24.75">
      <c r="A48" s="44" t="s">
        <v>114</v>
      </c>
      <c r="B48" s="57" t="s">
        <v>115</v>
      </c>
      <c r="C48" s="45" t="s">
        <v>116</v>
      </c>
      <c r="D48" s="59" t="s">
        <v>83</v>
      </c>
      <c r="E48" s="47">
        <v>4</v>
      </c>
      <c r="F48" s="48"/>
      <c r="G48" s="49">
        <f t="shared" si="9"/>
        <v>0</v>
      </c>
      <c r="N48"/>
      <c r="O48"/>
      <c r="P48"/>
      <c r="Q48"/>
      <c r="R48"/>
    </row>
    <row r="49" spans="1:18" ht="14.25" customHeight="1">
      <c r="A49" s="44"/>
      <c r="B49" s="44"/>
      <c r="C49" s="58"/>
      <c r="D49" s="59"/>
      <c r="E49" s="49" t="s">
        <v>117</v>
      </c>
      <c r="F49" s="49"/>
      <c r="G49" s="49">
        <f>SUM(G45:G48)</f>
        <v>0</v>
      </c>
      <c r="N49"/>
      <c r="O49"/>
      <c r="P49"/>
      <c r="Q49"/>
      <c r="R49"/>
    </row>
    <row r="50" spans="1:18" ht="14.25">
      <c r="A50" s="70">
        <v>8</v>
      </c>
      <c r="B50" s="70"/>
      <c r="C50" s="71" t="s">
        <v>118</v>
      </c>
      <c r="D50" s="72"/>
      <c r="E50" s="73"/>
      <c r="F50" s="73"/>
      <c r="G50" s="74"/>
      <c r="N50"/>
      <c r="O50"/>
      <c r="P50" s="43" t="s">
        <v>16</v>
      </c>
      <c r="Q50" s="43" t="s">
        <v>107</v>
      </c>
      <c r="R50" s="43" t="s">
        <v>18</v>
      </c>
    </row>
    <row r="51" spans="1:17" ht="14.25">
      <c r="A51" s="67" t="s">
        <v>119</v>
      </c>
      <c r="B51" s="45" t="s">
        <v>120</v>
      </c>
      <c r="C51" s="45" t="s">
        <v>121</v>
      </c>
      <c r="D51" s="46" t="s">
        <v>122</v>
      </c>
      <c r="E51" s="46">
        <v>60</v>
      </c>
      <c r="F51" s="48"/>
      <c r="G51" s="49">
        <f>ROUND(E51*F51,2)</f>
        <v>0</v>
      </c>
      <c r="N51" s="1" t="s">
        <v>123</v>
      </c>
      <c r="O51" s="1" t="s">
        <v>124</v>
      </c>
      <c r="P51" s="1">
        <v>34.36</v>
      </c>
      <c r="Q51" s="1">
        <f>P51*3</f>
        <v>103.08</v>
      </c>
    </row>
    <row r="52" spans="1:17" ht="14.25" customHeight="1">
      <c r="A52" s="44"/>
      <c r="B52" s="44"/>
      <c r="C52" s="58"/>
      <c r="D52" s="59"/>
      <c r="E52" s="49" t="s">
        <v>125</v>
      </c>
      <c r="F52" s="49"/>
      <c r="G52" s="49">
        <f>SUM(G51)</f>
        <v>0</v>
      </c>
      <c r="N52">
        <f>5.06+6.64</f>
        <v>11.7</v>
      </c>
      <c r="O52" t="s">
        <v>126</v>
      </c>
      <c r="P52">
        <f>N52/1.5</f>
        <v>7.8</v>
      </c>
      <c r="Q52">
        <f>P52*N53</f>
        <v>67.08</v>
      </c>
    </row>
    <row r="53" spans="1:17" ht="14.25">
      <c r="A53" s="70">
        <v>9</v>
      </c>
      <c r="B53" s="70"/>
      <c r="C53" s="71" t="s">
        <v>127</v>
      </c>
      <c r="D53" s="72"/>
      <c r="E53" s="73"/>
      <c r="F53" s="73"/>
      <c r="G53" s="74"/>
      <c r="N53">
        <v>8.6</v>
      </c>
      <c r="O53" t="s">
        <v>128</v>
      </c>
      <c r="P53">
        <f>N52/0.5</f>
        <v>23.4</v>
      </c>
      <c r="Q53">
        <f>P53*N53</f>
        <v>201.23999999999998</v>
      </c>
    </row>
    <row r="54" spans="1:19" ht="14.25">
      <c r="A54" s="67" t="s">
        <v>129</v>
      </c>
      <c r="B54" s="45" t="s">
        <v>130</v>
      </c>
      <c r="C54" s="45" t="s">
        <v>131</v>
      </c>
      <c r="D54" s="46" t="s">
        <v>122</v>
      </c>
      <c r="E54" s="46">
        <v>193.2</v>
      </c>
      <c r="F54" s="48"/>
      <c r="G54" s="49">
        <f>ROUND(E54*F54,2)</f>
        <v>0</v>
      </c>
      <c r="N54"/>
      <c r="O54"/>
      <c r="P54" s="77"/>
      <c r="Q54" s="77"/>
      <c r="S54" s="1" t="s">
        <v>19</v>
      </c>
    </row>
    <row r="55" spans="1:18" ht="14.25">
      <c r="A55" s="67" t="s">
        <v>132</v>
      </c>
      <c r="B55" s="45" t="s">
        <v>133</v>
      </c>
      <c r="C55" s="45" t="s">
        <v>134</v>
      </c>
      <c r="D55" s="46" t="s">
        <v>122</v>
      </c>
      <c r="E55" s="46">
        <v>193.2</v>
      </c>
      <c r="F55" s="48"/>
      <c r="G55" s="78">
        <f aca="true" t="shared" si="11" ref="G55:G56">E55*F55</f>
        <v>0</v>
      </c>
      <c r="N55" s="1" t="s">
        <v>60</v>
      </c>
      <c r="O55" s="43" t="s">
        <v>25</v>
      </c>
      <c r="P55" s="60">
        <v>4.8</v>
      </c>
      <c r="Q55" s="52">
        <v>1</v>
      </c>
      <c r="R55" s="52">
        <f aca="true" t="shared" si="12" ref="R55:R56">ROUND(P55*Q55,2)</f>
        <v>4.8</v>
      </c>
    </row>
    <row r="56" spans="1:18" ht="14.25">
      <c r="A56" s="67" t="s">
        <v>135</v>
      </c>
      <c r="B56" s="45" t="s">
        <v>136</v>
      </c>
      <c r="C56" s="45" t="s">
        <v>137</v>
      </c>
      <c r="D56" s="46" t="s">
        <v>122</v>
      </c>
      <c r="E56" s="46">
        <v>193.2</v>
      </c>
      <c r="F56" s="48"/>
      <c r="G56" s="78">
        <f t="shared" si="11"/>
        <v>0</v>
      </c>
      <c r="O56" s="43" t="s">
        <v>101</v>
      </c>
      <c r="P56" s="60">
        <v>2.95</v>
      </c>
      <c r="Q56" s="52">
        <v>1</v>
      </c>
      <c r="R56" s="52">
        <f t="shared" si="12"/>
        <v>2.95</v>
      </c>
    </row>
    <row r="57" spans="1:7" ht="12.75" customHeight="1">
      <c r="A57" s="44"/>
      <c r="B57" s="44"/>
      <c r="C57" s="58"/>
      <c r="D57" s="46"/>
      <c r="E57" s="49" t="s">
        <v>138</v>
      </c>
      <c r="F57" s="49"/>
      <c r="G57" s="49">
        <f>SUM(G54:G56)</f>
        <v>0</v>
      </c>
    </row>
    <row r="58" spans="1:18" ht="14.25">
      <c r="A58" s="44"/>
      <c r="B58" s="44"/>
      <c r="C58" s="58"/>
      <c r="D58" s="59"/>
      <c r="E58" s="49"/>
      <c r="F58" s="49"/>
      <c r="G58" s="49"/>
      <c r="N58"/>
      <c r="O58"/>
      <c r="P58"/>
      <c r="Q58"/>
      <c r="R58"/>
    </row>
    <row r="59" spans="1:7" ht="14.25">
      <c r="A59" s="79">
        <v>10</v>
      </c>
      <c r="B59" s="79"/>
      <c r="C59" s="80" t="s">
        <v>139</v>
      </c>
      <c r="D59" s="81"/>
      <c r="E59" s="82"/>
      <c r="F59" s="82"/>
      <c r="G59" s="82"/>
    </row>
    <row r="60" spans="1:18" ht="14.25">
      <c r="A60" s="83" t="s">
        <v>140</v>
      </c>
      <c r="B60" s="45" t="s">
        <v>141</v>
      </c>
      <c r="C60" s="45" t="s">
        <v>142</v>
      </c>
      <c r="D60" s="46" t="s">
        <v>23</v>
      </c>
      <c r="E60" s="84">
        <v>60</v>
      </c>
      <c r="F60" s="48"/>
      <c r="G60" s="49">
        <f aca="true" t="shared" si="13" ref="G60:G62">ROUND(E60*F60,2)</f>
        <v>0</v>
      </c>
      <c r="N60" t="s">
        <v>143</v>
      </c>
      <c r="O60"/>
      <c r="P60"/>
      <c r="Q60"/>
      <c r="R60"/>
    </row>
    <row r="61" spans="1:18" ht="14.25">
      <c r="A61" s="83" t="s">
        <v>144</v>
      </c>
      <c r="B61" s="45" t="s">
        <v>145</v>
      </c>
      <c r="C61" s="45" t="s">
        <v>146</v>
      </c>
      <c r="D61" s="46" t="s">
        <v>23</v>
      </c>
      <c r="E61" s="84">
        <v>60</v>
      </c>
      <c r="F61" s="48"/>
      <c r="G61" s="49">
        <f t="shared" si="13"/>
        <v>0</v>
      </c>
      <c r="N61"/>
      <c r="O61"/>
      <c r="P61"/>
      <c r="Q61"/>
      <c r="R61"/>
    </row>
    <row r="62" spans="1:21" ht="14.25">
      <c r="A62" s="83" t="s">
        <v>147</v>
      </c>
      <c r="B62" s="45" t="s">
        <v>148</v>
      </c>
      <c r="C62" s="45" t="s">
        <v>149</v>
      </c>
      <c r="D62" s="46" t="s">
        <v>23</v>
      </c>
      <c r="E62" s="84">
        <v>60</v>
      </c>
      <c r="F62" s="48"/>
      <c r="G62" s="49">
        <f t="shared" si="13"/>
        <v>0</v>
      </c>
      <c r="N62" t="s">
        <v>150</v>
      </c>
      <c r="O62" t="s">
        <v>151</v>
      </c>
      <c r="P62" t="s">
        <v>152</v>
      </c>
      <c r="Q62" t="s">
        <v>153</v>
      </c>
      <c r="R62" t="s">
        <v>154</v>
      </c>
      <c r="S62" s="1" t="s">
        <v>155</v>
      </c>
      <c r="U62" s="1" t="s">
        <v>156</v>
      </c>
    </row>
    <row r="63" spans="1:21" ht="12.75" customHeight="1">
      <c r="A63" s="83"/>
      <c r="B63" s="44"/>
      <c r="C63" s="58"/>
      <c r="D63" s="59"/>
      <c r="E63" s="49" t="s">
        <v>157</v>
      </c>
      <c r="F63" s="49"/>
      <c r="G63" s="49">
        <f>SUM(G60:G62)</f>
        <v>0</v>
      </c>
      <c r="N63" s="85"/>
      <c r="O63" s="1" t="s">
        <v>158</v>
      </c>
      <c r="P63" s="1">
        <v>5</v>
      </c>
      <c r="Q63" s="1">
        <v>1.6</v>
      </c>
      <c r="R63" s="86">
        <f>Q63*P63</f>
        <v>8</v>
      </c>
      <c r="S63" s="2">
        <f>R63*0.617</f>
        <v>4.936</v>
      </c>
      <c r="T63" s="52" t="e">
        <f>S63*#REF!</f>
        <v>#REF!</v>
      </c>
      <c r="U63" s="87"/>
    </row>
    <row r="64" spans="1:21" ht="14.25">
      <c r="A64" s="44"/>
      <c r="B64" s="44"/>
      <c r="C64" s="58"/>
      <c r="D64" s="59"/>
      <c r="E64" s="49"/>
      <c r="F64" s="88"/>
      <c r="G64" s="49"/>
      <c r="N64" s="1" t="s">
        <v>159</v>
      </c>
      <c r="O64" s="86" t="s">
        <v>151</v>
      </c>
      <c r="P64" s="86" t="s">
        <v>152</v>
      </c>
      <c r="Q64" s="86" t="s">
        <v>153</v>
      </c>
      <c r="R64" s="86" t="s">
        <v>154</v>
      </c>
      <c r="S64" s="1" t="s">
        <v>155</v>
      </c>
      <c r="U64" s="1" t="s">
        <v>156</v>
      </c>
    </row>
    <row r="65" spans="1:21" ht="12.75" customHeight="1">
      <c r="A65" s="34">
        <v>11</v>
      </c>
      <c r="B65" s="34"/>
      <c r="C65" s="38" t="s">
        <v>160</v>
      </c>
      <c r="D65" s="64"/>
      <c r="E65" s="65"/>
      <c r="F65" s="65"/>
      <c r="G65" s="66"/>
      <c r="N65" s="85">
        <v>14</v>
      </c>
      <c r="O65" s="1" t="s">
        <v>158</v>
      </c>
      <c r="P65" s="1">
        <v>4</v>
      </c>
      <c r="Q65" s="1">
        <v>4.2</v>
      </c>
      <c r="R65" s="86">
        <f aca="true" t="shared" si="14" ref="R65:R66">Q65*P65</f>
        <v>16.8</v>
      </c>
      <c r="S65" s="2">
        <f>R65*0.617</f>
        <v>10.3656</v>
      </c>
      <c r="T65" s="52">
        <f>S65*N65</f>
        <v>145.1184</v>
      </c>
      <c r="U65" s="87">
        <f>T65+T66</f>
        <v>204.27904</v>
      </c>
    </row>
    <row r="66" spans="1:21" ht="14.25">
      <c r="A66" s="44" t="s">
        <v>161</v>
      </c>
      <c r="B66" s="45" t="s">
        <v>162</v>
      </c>
      <c r="C66" s="45" t="s">
        <v>163</v>
      </c>
      <c r="D66" s="55" t="s">
        <v>122</v>
      </c>
      <c r="E66" s="47">
        <v>124.2</v>
      </c>
      <c r="F66" s="48"/>
      <c r="G66" s="49">
        <f aca="true" t="shared" si="15" ref="G66:G67">ROUND(E66*F66,2)</f>
        <v>0</v>
      </c>
      <c r="N66" s="85"/>
      <c r="O66" s="1" t="s">
        <v>164</v>
      </c>
      <c r="P66" s="1">
        <v>28</v>
      </c>
      <c r="Q66" s="1">
        <v>0.98</v>
      </c>
      <c r="R66" s="86">
        <f t="shared" si="14"/>
        <v>27.439999999999998</v>
      </c>
      <c r="S66" s="2">
        <f>R66*0.154</f>
        <v>4.225759999999999</v>
      </c>
      <c r="T66" s="2">
        <f>S66*N65</f>
        <v>59.16063999999999</v>
      </c>
      <c r="U66" s="87"/>
    </row>
    <row r="67" spans="1:21" ht="14.25">
      <c r="A67" s="44" t="s">
        <v>165</v>
      </c>
      <c r="B67" s="45" t="s">
        <v>166</v>
      </c>
      <c r="C67" s="45" t="s">
        <v>167</v>
      </c>
      <c r="D67" s="55" t="s">
        <v>122</v>
      </c>
      <c r="E67" s="47">
        <v>69</v>
      </c>
      <c r="F67" s="48"/>
      <c r="G67" s="49">
        <f t="shared" si="15"/>
        <v>0</v>
      </c>
      <c r="N67" s="85"/>
      <c r="R67" s="86"/>
      <c r="S67" s="2"/>
      <c r="T67" s="2"/>
      <c r="U67" s="87"/>
    </row>
    <row r="68" spans="1:7" ht="12.75" customHeight="1">
      <c r="A68" s="44"/>
      <c r="B68" s="44"/>
      <c r="C68" s="58"/>
      <c r="D68" s="44"/>
      <c r="E68" s="89" t="s">
        <v>168</v>
      </c>
      <c r="F68" s="89"/>
      <c r="G68" s="89">
        <f>SUM(G66:G67)</f>
        <v>0</v>
      </c>
    </row>
    <row r="69" spans="1:21" ht="14.25">
      <c r="A69" s="90" t="s">
        <v>169</v>
      </c>
      <c r="B69" s="90"/>
      <c r="C69" s="90"/>
      <c r="D69" s="90"/>
      <c r="E69" s="90"/>
      <c r="F69" s="90"/>
      <c r="G69" s="91"/>
      <c r="N69" s="85">
        <v>24</v>
      </c>
      <c r="O69" s="1" t="s">
        <v>158</v>
      </c>
      <c r="P69" s="1">
        <v>4</v>
      </c>
      <c r="Q69" s="1">
        <v>1</v>
      </c>
      <c r="R69" s="86">
        <f aca="true" t="shared" si="16" ref="R69:R70">Q69*P69</f>
        <v>4</v>
      </c>
      <c r="S69" s="2">
        <f>R69*0.617</f>
        <v>2.468</v>
      </c>
      <c r="T69" s="92">
        <f>S69*N69</f>
        <v>59.232</v>
      </c>
      <c r="U69" s="87">
        <f>T69+T70</f>
        <v>83.62559999999999</v>
      </c>
    </row>
    <row r="70" spans="1:21" ht="14.25">
      <c r="A70" s="93" t="s">
        <v>170</v>
      </c>
      <c r="B70" s="93"/>
      <c r="C70" s="93"/>
      <c r="D70" s="93"/>
      <c r="E70" s="93"/>
      <c r="F70" s="93"/>
      <c r="G70" s="94">
        <f>G16+G25+G30+G34+G38+G43+G49+G52+G57+G63+G68</f>
        <v>0</v>
      </c>
      <c r="N70" s="85"/>
      <c r="O70" s="1" t="s">
        <v>164</v>
      </c>
      <c r="P70" s="1">
        <v>6</v>
      </c>
      <c r="Q70" s="1">
        <v>1.1</v>
      </c>
      <c r="R70" s="86">
        <f t="shared" si="16"/>
        <v>6.6000000000000005</v>
      </c>
      <c r="S70" s="2">
        <f>R70*0.154</f>
        <v>1.0164</v>
      </c>
      <c r="T70" s="2">
        <f>S70*N69</f>
        <v>24.3936</v>
      </c>
      <c r="U70" s="87"/>
    </row>
    <row r="73" spans="5:18" ht="14.25">
      <c r="E73"/>
      <c r="F73"/>
      <c r="G73"/>
      <c r="O73" s="95" t="s">
        <v>171</v>
      </c>
      <c r="P73" s="95"/>
      <c r="Q73" s="1" t="e">
        <f>T62+#REF!+T63+#REF!+T65+T69</f>
        <v>#REF!</v>
      </c>
      <c r="R73" s="85" t="e">
        <f>Q73+Q74</f>
        <v>#REF!</v>
      </c>
    </row>
    <row r="74" spans="5:18" ht="14.25">
      <c r="E74" s="95" t="s">
        <v>172</v>
      </c>
      <c r="F74" s="95"/>
      <c r="G74" s="95"/>
      <c r="O74" s="95" t="s">
        <v>173</v>
      </c>
      <c r="P74" s="95"/>
      <c r="Q74" s="1" t="e">
        <f>#REF!+T63+T66+T70</f>
        <v>#REF!</v>
      </c>
      <c r="R74" s="85"/>
    </row>
    <row r="75" spans="5:7" ht="14.25" customHeight="1">
      <c r="E75" s="50" t="s">
        <v>174</v>
      </c>
      <c r="F75" s="50"/>
      <c r="G75" s="50"/>
    </row>
    <row r="76" spans="5:7" ht="14.25" customHeight="1">
      <c r="E76" s="50" t="s">
        <v>175</v>
      </c>
      <c r="F76" s="50"/>
      <c r="G76" s="50"/>
    </row>
  </sheetData>
  <sheetProtection selectLockedCells="1" selectUnlockedCells="1"/>
  <mergeCells count="33">
    <mergeCell ref="C1:G1"/>
    <mergeCell ref="C2:G2"/>
    <mergeCell ref="C3:G3"/>
    <mergeCell ref="A4:B4"/>
    <mergeCell ref="A5:B5"/>
    <mergeCell ref="A8:G8"/>
    <mergeCell ref="A11:G11"/>
    <mergeCell ref="N13:N14"/>
    <mergeCell ref="E16:F16"/>
    <mergeCell ref="E25:F25"/>
    <mergeCell ref="E30:F30"/>
    <mergeCell ref="E34:F34"/>
    <mergeCell ref="E38:F38"/>
    <mergeCell ref="A43:D43"/>
    <mergeCell ref="E43:F43"/>
    <mergeCell ref="N45:N46"/>
    <mergeCell ref="E49:F49"/>
    <mergeCell ref="E52:F52"/>
    <mergeCell ref="E57:F57"/>
    <mergeCell ref="E63:F63"/>
    <mergeCell ref="N65:N66"/>
    <mergeCell ref="U65:U66"/>
    <mergeCell ref="E68:F68"/>
    <mergeCell ref="A69:F69"/>
    <mergeCell ref="N69:N70"/>
    <mergeCell ref="U69:U70"/>
    <mergeCell ref="A70:F70"/>
    <mergeCell ref="O73:P73"/>
    <mergeCell ref="R73:R74"/>
    <mergeCell ref="E74:G74"/>
    <mergeCell ref="O74:P74"/>
    <mergeCell ref="E75:G75"/>
    <mergeCell ref="E76:G76"/>
  </mergeCells>
  <printOptions horizontalCentered="1" verticalCentered="1"/>
  <pageMargins left="0.39375" right="0.2361111111111111" top="0.4722222222222222" bottom="0.4722222222222222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N6" sqref="N6"/>
    </sheetView>
  </sheetViews>
  <sheetFormatPr defaultColWidth="8.00390625" defaultRowHeight="12.75"/>
  <cols>
    <col min="1" max="5" width="8.7109375" style="0" customWidth="1"/>
    <col min="6" max="6" width="10.140625" style="0" customWidth="1"/>
    <col min="7" max="7" width="8.7109375" style="0" customWidth="1"/>
    <col min="8" max="8" width="9.2812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1" spans="1:9" ht="12.75">
      <c r="A1" s="96" t="s">
        <v>176</v>
      </c>
      <c r="B1" s="96"/>
      <c r="C1" s="96"/>
      <c r="D1" s="96"/>
      <c r="E1" s="96"/>
      <c r="F1" s="96"/>
      <c r="G1" s="96"/>
      <c r="H1" s="96"/>
      <c r="I1" s="96"/>
    </row>
    <row r="2" spans="1:21" ht="12.75">
      <c r="A2" s="96"/>
      <c r="B2" s="96"/>
      <c r="C2" s="96"/>
      <c r="D2" s="96"/>
      <c r="E2" s="96"/>
      <c r="F2" s="96"/>
      <c r="G2" s="96"/>
      <c r="H2" s="96"/>
      <c r="I2" s="96"/>
      <c r="P2" s="97"/>
      <c r="Q2" s="97"/>
      <c r="R2" s="97"/>
      <c r="S2" s="97"/>
      <c r="T2" s="97"/>
      <c r="U2" s="97"/>
    </row>
    <row r="3" spans="1:21" ht="12.75">
      <c r="A3" s="98" t="s">
        <v>177</v>
      </c>
      <c r="B3" s="98"/>
      <c r="C3" s="98"/>
      <c r="D3" s="98" t="s">
        <v>178</v>
      </c>
      <c r="E3" s="98"/>
      <c r="F3" s="99" t="s">
        <v>179</v>
      </c>
      <c r="G3" s="99" t="s">
        <v>180</v>
      </c>
      <c r="H3" s="99" t="s">
        <v>181</v>
      </c>
      <c r="I3" s="100" t="s">
        <v>182</v>
      </c>
      <c r="P3" s="101"/>
      <c r="Q3" s="101"/>
      <c r="R3" s="97"/>
      <c r="S3" s="97"/>
      <c r="T3" s="97"/>
      <c r="U3" s="102"/>
    </row>
    <row r="4" spans="1:21" ht="12.75" customHeight="1">
      <c r="A4" s="98" t="s">
        <v>183</v>
      </c>
      <c r="B4" s="98"/>
      <c r="C4" s="98"/>
      <c r="D4" s="98" t="s">
        <v>184</v>
      </c>
      <c r="E4" s="98"/>
      <c r="F4" s="103">
        <f>7.5+7.5+8</f>
        <v>23</v>
      </c>
      <c r="G4" s="98" t="s">
        <v>185</v>
      </c>
      <c r="H4" s="99"/>
      <c r="I4" s="99"/>
      <c r="J4">
        <f>F6+F7</f>
        <v>4.38</v>
      </c>
      <c r="M4" s="104" t="s">
        <v>186</v>
      </c>
      <c r="N4" s="104"/>
      <c r="O4" s="105">
        <f>F5-F6-F7</f>
        <v>119.82</v>
      </c>
      <c r="P4" s="97"/>
      <c r="Q4" s="97"/>
      <c r="R4" s="97"/>
      <c r="S4" s="97"/>
      <c r="T4" s="97"/>
      <c r="U4" s="97"/>
    </row>
    <row r="5" spans="1:21" ht="12.75" customHeight="1">
      <c r="A5" s="98" t="s">
        <v>187</v>
      </c>
      <c r="B5" s="98"/>
      <c r="C5" s="98"/>
      <c r="D5" s="106" t="s">
        <v>188</v>
      </c>
      <c r="E5" s="106"/>
      <c r="F5" s="107">
        <f>5.4*F4</f>
        <v>124.2</v>
      </c>
      <c r="G5" s="98" t="s">
        <v>87</v>
      </c>
      <c r="H5" s="99"/>
      <c r="I5" s="99"/>
      <c r="M5" s="108" t="s">
        <v>189</v>
      </c>
      <c r="N5" s="108"/>
      <c r="O5" s="108"/>
      <c r="P5" s="108"/>
      <c r="R5" s="109"/>
      <c r="S5" s="110"/>
      <c r="T5" s="109"/>
      <c r="U5" s="109"/>
    </row>
    <row r="6" spans="1:21" ht="12.75" customHeight="1">
      <c r="A6" s="111" t="s">
        <v>190</v>
      </c>
      <c r="B6" s="111"/>
      <c r="C6" s="111"/>
      <c r="D6" s="98" t="s">
        <v>191</v>
      </c>
      <c r="E6" s="98"/>
      <c r="F6" s="107">
        <f>0.9*2.2</f>
        <v>1.9800000000000002</v>
      </c>
      <c r="G6" s="98" t="s">
        <v>87</v>
      </c>
      <c r="H6" s="99"/>
      <c r="I6" s="99">
        <v>1</v>
      </c>
      <c r="L6" s="112" t="s">
        <v>192</v>
      </c>
      <c r="M6" s="113" t="s">
        <v>60</v>
      </c>
      <c r="N6" s="114">
        <f>(1.5-12.5*(0.39*0.19))*0.19</f>
        <v>0.1090125</v>
      </c>
      <c r="O6" s="113" t="s">
        <v>193</v>
      </c>
      <c r="R6" s="97"/>
      <c r="S6" s="97"/>
      <c r="T6" s="97"/>
      <c r="U6" s="97"/>
    </row>
    <row r="7" spans="1:21" ht="12.75" customHeight="1">
      <c r="A7" s="111" t="s">
        <v>194</v>
      </c>
      <c r="B7" s="111"/>
      <c r="C7" s="111"/>
      <c r="D7" s="98" t="s">
        <v>191</v>
      </c>
      <c r="E7" s="98"/>
      <c r="F7" s="107">
        <f>1.2*2</f>
        <v>2.4</v>
      </c>
      <c r="G7" s="98" t="s">
        <v>87</v>
      </c>
      <c r="H7" s="99"/>
      <c r="I7" s="99">
        <v>3</v>
      </c>
      <c r="L7" s="112"/>
      <c r="M7" s="115" t="s">
        <v>195</v>
      </c>
      <c r="N7" s="116">
        <f>130*N6</f>
        <v>14.171625</v>
      </c>
      <c r="O7" s="115" t="s">
        <v>196</v>
      </c>
      <c r="R7" s="97"/>
      <c r="S7" s="97"/>
      <c r="T7" s="97"/>
      <c r="U7" s="97"/>
    </row>
    <row r="8" spans="1:17" ht="12.75">
      <c r="A8" s="111" t="s">
        <v>197</v>
      </c>
      <c r="B8" s="111"/>
      <c r="C8" s="111"/>
      <c r="D8" s="98" t="s">
        <v>198</v>
      </c>
      <c r="E8" s="98"/>
      <c r="F8" s="103">
        <f>O4*12.5</f>
        <v>1497.75</v>
      </c>
      <c r="G8" s="98" t="s">
        <v>180</v>
      </c>
      <c r="H8" s="105">
        <f aca="true" t="shared" si="0" ref="H8:H22">F8*0.1</f>
        <v>149.775</v>
      </c>
      <c r="I8" s="117">
        <f aca="true" t="shared" si="1" ref="I8:I17">F8+H8</f>
        <v>1647.525</v>
      </c>
      <c r="J8" s="118"/>
      <c r="L8" s="112"/>
      <c r="M8" s="113" t="s">
        <v>199</v>
      </c>
      <c r="N8" s="119">
        <f>282*N6</f>
        <v>30.741525</v>
      </c>
      <c r="O8" s="113" t="s">
        <v>196</v>
      </c>
      <c r="Q8" s="120" t="s">
        <v>200</v>
      </c>
    </row>
    <row r="9" spans="1:15" ht="15" customHeight="1">
      <c r="A9" s="111" t="s">
        <v>201</v>
      </c>
      <c r="B9" s="111"/>
      <c r="C9" s="111"/>
      <c r="D9" s="98" t="s">
        <v>202</v>
      </c>
      <c r="E9" s="98"/>
      <c r="F9" s="107">
        <f>(F4*5)+3.63</f>
        <v>118.63</v>
      </c>
      <c r="G9" s="98" t="s">
        <v>180</v>
      </c>
      <c r="H9" s="99">
        <f t="shared" si="0"/>
        <v>11.863</v>
      </c>
      <c r="I9" s="117">
        <f t="shared" si="1"/>
        <v>130.493</v>
      </c>
      <c r="J9" s="121" t="s">
        <v>203</v>
      </c>
      <c r="K9" s="122"/>
      <c r="L9" s="112"/>
      <c r="M9" s="113" t="s">
        <v>204</v>
      </c>
      <c r="N9" s="123">
        <f>1.22*N6</f>
        <v>0.13299524999999998</v>
      </c>
      <c r="O9" s="124" t="s">
        <v>193</v>
      </c>
    </row>
    <row r="10" spans="1:9" ht="12.75" customHeight="1">
      <c r="A10" s="125" t="s">
        <v>205</v>
      </c>
      <c r="B10" s="125"/>
      <c r="C10" s="125"/>
      <c r="D10" s="106" t="s">
        <v>206</v>
      </c>
      <c r="E10" s="106"/>
      <c r="F10" s="103">
        <f>O4*N6</f>
        <v>13.061877749999999</v>
      </c>
      <c r="G10" s="106" t="s">
        <v>193</v>
      </c>
      <c r="H10" s="105">
        <f t="shared" si="0"/>
        <v>1.306187775</v>
      </c>
      <c r="I10" s="105">
        <f t="shared" si="1"/>
        <v>14.368065524999999</v>
      </c>
    </row>
    <row r="11" spans="1:15" ht="12.75" customHeight="1">
      <c r="A11" s="125" t="s">
        <v>131</v>
      </c>
      <c r="B11" s="125"/>
      <c r="C11" s="125"/>
      <c r="D11" s="106" t="s">
        <v>207</v>
      </c>
      <c r="E11" s="106"/>
      <c r="F11" s="103">
        <f>O4*0.02*2</f>
        <v>4.7928</v>
      </c>
      <c r="G11" s="106" t="s">
        <v>193</v>
      </c>
      <c r="H11" s="105">
        <f t="shared" si="0"/>
        <v>0.47928</v>
      </c>
      <c r="I11" s="105">
        <f t="shared" si="1"/>
        <v>5.27208</v>
      </c>
      <c r="M11" s="126" t="s">
        <v>208</v>
      </c>
      <c r="N11" s="126"/>
      <c r="O11" s="126"/>
    </row>
    <row r="12" spans="1:15" ht="12.75" customHeight="1">
      <c r="A12" s="125" t="s">
        <v>209</v>
      </c>
      <c r="B12" s="125"/>
      <c r="C12" s="125"/>
      <c r="D12" s="106" t="s">
        <v>210</v>
      </c>
      <c r="E12" s="106"/>
      <c r="F12" s="103">
        <f>O4*0.03*2</f>
        <v>7.1892</v>
      </c>
      <c r="G12" s="106" t="s">
        <v>193</v>
      </c>
      <c r="H12" s="105">
        <f t="shared" si="0"/>
        <v>0.71892</v>
      </c>
      <c r="I12" s="105">
        <f t="shared" si="1"/>
        <v>7.908119999999999</v>
      </c>
      <c r="M12" s="106" t="s">
        <v>211</v>
      </c>
      <c r="N12" s="106"/>
      <c r="O12" s="99">
        <f>6.36+4.85</f>
        <v>11.21</v>
      </c>
    </row>
    <row r="13" spans="1:15" ht="12.75" customHeight="1">
      <c r="A13" s="125" t="s">
        <v>137</v>
      </c>
      <c r="B13" s="125"/>
      <c r="C13" s="125"/>
      <c r="D13" s="106" t="s">
        <v>212</v>
      </c>
      <c r="E13" s="106"/>
      <c r="F13" s="103">
        <f>O4*0.05*2</f>
        <v>11.982</v>
      </c>
      <c r="G13" s="106" t="s">
        <v>193</v>
      </c>
      <c r="H13" s="105">
        <f t="shared" si="0"/>
        <v>1.1982</v>
      </c>
      <c r="I13" s="105">
        <f t="shared" si="1"/>
        <v>13.1802</v>
      </c>
      <c r="M13" s="106" t="s">
        <v>213</v>
      </c>
      <c r="N13" s="106"/>
      <c r="O13" s="105">
        <f>11.21*8.55</f>
        <v>95.84550000000002</v>
      </c>
    </row>
    <row r="14" spans="1:9" ht="12.75" customHeight="1">
      <c r="A14" s="125" t="s">
        <v>214</v>
      </c>
      <c r="B14" s="125"/>
      <c r="C14" s="125"/>
      <c r="D14" s="106" t="s">
        <v>215</v>
      </c>
      <c r="E14" s="106"/>
      <c r="F14" s="107">
        <f>(7.5*8*0.05)</f>
        <v>3</v>
      </c>
      <c r="G14" s="106" t="s">
        <v>193</v>
      </c>
      <c r="H14" s="105">
        <f t="shared" si="0"/>
        <v>0.30000000000000004</v>
      </c>
      <c r="I14" s="105">
        <f t="shared" si="1"/>
        <v>3.3</v>
      </c>
    </row>
    <row r="15" spans="1:15" ht="12.75" customHeight="1">
      <c r="A15" s="125" t="s">
        <v>118</v>
      </c>
      <c r="B15" s="125"/>
      <c r="C15" s="125"/>
      <c r="D15" s="106" t="s">
        <v>216</v>
      </c>
      <c r="E15" s="106"/>
      <c r="F15" s="107">
        <f aca="true" t="shared" si="2" ref="F15:F16">7.5*8</f>
        <v>60</v>
      </c>
      <c r="G15" s="106" t="s">
        <v>87</v>
      </c>
      <c r="H15" s="105">
        <f t="shared" si="0"/>
        <v>6</v>
      </c>
      <c r="I15" s="105">
        <f t="shared" si="1"/>
        <v>66</v>
      </c>
      <c r="M15" s="126" t="s">
        <v>160</v>
      </c>
      <c r="N15" s="126"/>
      <c r="O15" s="126"/>
    </row>
    <row r="16" spans="1:15" ht="12.75" customHeight="1">
      <c r="A16" s="125" t="s">
        <v>217</v>
      </c>
      <c r="B16" s="125"/>
      <c r="C16" s="125"/>
      <c r="D16" s="106" t="s">
        <v>216</v>
      </c>
      <c r="E16" s="106"/>
      <c r="F16" s="107">
        <f t="shared" si="2"/>
        <v>60</v>
      </c>
      <c r="G16" s="106" t="s">
        <v>87</v>
      </c>
      <c r="H16" s="105">
        <f t="shared" si="0"/>
        <v>6</v>
      </c>
      <c r="I16" s="105">
        <f t="shared" si="1"/>
        <v>66</v>
      </c>
      <c r="M16" s="124" t="s">
        <v>218</v>
      </c>
      <c r="N16" s="105">
        <f>O4/4</f>
        <v>29.955</v>
      </c>
      <c r="O16" s="124" t="s">
        <v>219</v>
      </c>
    </row>
    <row r="17" spans="1:9" ht="12.75" customHeight="1">
      <c r="A17" s="125" t="s">
        <v>220</v>
      </c>
      <c r="B17" s="125"/>
      <c r="C17" s="125"/>
      <c r="D17" s="98" t="s">
        <v>221</v>
      </c>
      <c r="E17" s="98"/>
      <c r="F17" s="107">
        <f>F4*0.4</f>
        <v>9.200000000000001</v>
      </c>
      <c r="G17" s="106" t="s">
        <v>193</v>
      </c>
      <c r="H17" s="105">
        <f t="shared" si="0"/>
        <v>0.9200000000000002</v>
      </c>
      <c r="I17" s="105">
        <f t="shared" si="1"/>
        <v>10.120000000000001</v>
      </c>
    </row>
    <row r="18" spans="1:19" ht="12.75" customHeight="1">
      <c r="A18" s="125" t="s">
        <v>160</v>
      </c>
      <c r="B18" s="125"/>
      <c r="C18" s="125"/>
      <c r="D18" s="106" t="s">
        <v>222</v>
      </c>
      <c r="E18" s="106"/>
      <c r="F18" s="105">
        <v>161.36</v>
      </c>
      <c r="G18" s="106" t="s">
        <v>87</v>
      </c>
      <c r="H18" s="105">
        <f t="shared" si="0"/>
        <v>16.136000000000003</v>
      </c>
      <c r="I18" s="127">
        <v>161.36</v>
      </c>
      <c r="K18" s="104" t="s">
        <v>143</v>
      </c>
      <c r="L18" s="104"/>
      <c r="M18" s="104"/>
      <c r="N18" s="104"/>
      <c r="O18" s="104"/>
      <c r="P18" s="104"/>
      <c r="Q18" s="104"/>
      <c r="R18" s="104"/>
      <c r="S18" s="104"/>
    </row>
    <row r="19" spans="1:19" ht="12.75" customHeight="1">
      <c r="A19" s="125" t="s">
        <v>223</v>
      </c>
      <c r="B19" s="125"/>
      <c r="C19" s="125"/>
      <c r="D19" s="106" t="s">
        <v>224</v>
      </c>
      <c r="E19" s="106"/>
      <c r="F19" s="107">
        <f>96*16</f>
        <v>1536</v>
      </c>
      <c r="G19" s="106" t="s">
        <v>180</v>
      </c>
      <c r="H19" s="99">
        <f t="shared" si="0"/>
        <v>153.60000000000002</v>
      </c>
      <c r="I19" s="99">
        <f aca="true" t="shared" si="3" ref="I19:I22">F19+H19</f>
        <v>1689.6</v>
      </c>
      <c r="K19" s="128" t="s">
        <v>225</v>
      </c>
      <c r="L19" s="128"/>
      <c r="M19" s="129">
        <v>10</v>
      </c>
      <c r="N19" s="130"/>
      <c r="P19" s="128" t="s">
        <v>226</v>
      </c>
      <c r="Q19" s="128"/>
      <c r="R19" s="130">
        <v>4</v>
      </c>
      <c r="S19" s="130"/>
    </row>
    <row r="20" spans="1:19" ht="12.75" customHeight="1">
      <c r="A20" s="125" t="s">
        <v>227</v>
      </c>
      <c r="B20" s="125"/>
      <c r="C20" s="125"/>
      <c r="D20" s="106" t="s">
        <v>228</v>
      </c>
      <c r="E20" s="106"/>
      <c r="F20" s="107">
        <f>8.5*3</f>
        <v>25.5</v>
      </c>
      <c r="G20" s="106" t="s">
        <v>180</v>
      </c>
      <c r="H20" s="99">
        <f t="shared" si="0"/>
        <v>2.5500000000000003</v>
      </c>
      <c r="I20" s="99">
        <f t="shared" si="3"/>
        <v>28.05</v>
      </c>
      <c r="K20" s="99">
        <f>4*4.2</f>
        <v>16.8</v>
      </c>
      <c r="L20" s="99">
        <f>K20*0.617</f>
        <v>10.3656</v>
      </c>
      <c r="M20" s="107">
        <f>L20+L21</f>
        <v>13.8306</v>
      </c>
      <c r="N20" s="107">
        <f>M19*M20</f>
        <v>138.306</v>
      </c>
      <c r="P20" s="99">
        <f>4*1.8</f>
        <v>7.2</v>
      </c>
      <c r="Q20" s="99">
        <f aca="true" t="shared" si="4" ref="Q20:Q21">P20*0.617</f>
        <v>4.4424</v>
      </c>
      <c r="R20" s="107">
        <f>Q20+Q21</f>
        <v>9.3784</v>
      </c>
      <c r="S20" s="107">
        <f>R20*R19</f>
        <v>37.5136</v>
      </c>
    </row>
    <row r="21" spans="1:19" ht="12.75" customHeight="1">
      <c r="A21" s="125" t="s">
        <v>229</v>
      </c>
      <c r="B21" s="125"/>
      <c r="C21" s="125"/>
      <c r="D21" s="98"/>
      <c r="E21" s="98"/>
      <c r="F21" s="99"/>
      <c r="G21" s="98"/>
      <c r="H21" s="99">
        <f t="shared" si="0"/>
        <v>0</v>
      </c>
      <c r="I21" s="99">
        <f t="shared" si="3"/>
        <v>0</v>
      </c>
      <c r="K21" s="99">
        <f>25*0.9</f>
        <v>22.5</v>
      </c>
      <c r="L21" s="99">
        <f>K21*0.154</f>
        <v>3.465</v>
      </c>
      <c r="M21" s="107"/>
      <c r="N21" s="107"/>
      <c r="P21" s="99">
        <f>5*1.6</f>
        <v>8</v>
      </c>
      <c r="Q21" s="99">
        <f t="shared" si="4"/>
        <v>4.936</v>
      </c>
      <c r="R21" s="107"/>
      <c r="S21" s="107"/>
    </row>
    <row r="22" spans="1:15" ht="12.75" customHeight="1">
      <c r="A22" s="111" t="s">
        <v>143</v>
      </c>
      <c r="B22" s="111"/>
      <c r="C22" s="111"/>
      <c r="D22" s="98" t="s">
        <v>230</v>
      </c>
      <c r="E22" s="98"/>
      <c r="F22" s="105">
        <f>N20+N24+S20+R24+S28</f>
        <v>417.4137999999999</v>
      </c>
      <c r="G22" s="98" t="s">
        <v>196</v>
      </c>
      <c r="H22" s="105">
        <f t="shared" si="0"/>
        <v>41.74137999999999</v>
      </c>
      <c r="I22" s="105">
        <f t="shared" si="3"/>
        <v>459.1551799999999</v>
      </c>
      <c r="K22" s="131"/>
      <c r="L22" s="131"/>
      <c r="M22" s="131"/>
      <c r="N22" s="131"/>
      <c r="O22" s="97"/>
    </row>
    <row r="23" spans="11:18" ht="12.75">
      <c r="K23" s="98" t="s">
        <v>150</v>
      </c>
      <c r="L23" s="98"/>
      <c r="M23" s="99">
        <v>14</v>
      </c>
      <c r="N23" s="99"/>
      <c r="P23" s="98" t="s">
        <v>231</v>
      </c>
      <c r="Q23" s="98"/>
      <c r="R23" s="99" t="s">
        <v>232</v>
      </c>
    </row>
    <row r="24" spans="11:18" ht="12.75">
      <c r="K24" s="99">
        <f>4*3</f>
        <v>12</v>
      </c>
      <c r="L24" s="99">
        <f>K24*0.617</f>
        <v>7.404</v>
      </c>
      <c r="M24" s="107">
        <f>L24+L25</f>
        <v>9.8372</v>
      </c>
      <c r="N24" s="107">
        <f>M24*M23</f>
        <v>137.7208</v>
      </c>
      <c r="P24" s="99">
        <f>4*23.5</f>
        <v>94</v>
      </c>
      <c r="Q24" s="99">
        <f>P24*0.617</f>
        <v>57.998</v>
      </c>
      <c r="R24" s="107">
        <f>Q24+Q25</f>
        <v>85.61019999999999</v>
      </c>
    </row>
    <row r="25" spans="11:18" ht="12.75">
      <c r="K25" s="99">
        <f>20*0.79</f>
        <v>15.8</v>
      </c>
      <c r="L25" s="99">
        <f>K25*0.154</f>
        <v>2.4332000000000003</v>
      </c>
      <c r="M25" s="107"/>
      <c r="N25" s="107"/>
      <c r="P25" s="99">
        <f>163*1.1</f>
        <v>179.3</v>
      </c>
      <c r="Q25" s="99">
        <f>P25*0.154</f>
        <v>27.6122</v>
      </c>
      <c r="R25" s="107"/>
    </row>
    <row r="26" ht="12.75">
      <c r="S26" s="99" t="s">
        <v>233</v>
      </c>
    </row>
    <row r="27" ht="12.75">
      <c r="S27" s="99">
        <f>14.8*2</f>
        <v>29.6</v>
      </c>
    </row>
    <row r="28" ht="12.75">
      <c r="S28">
        <f>S27*0.617</f>
        <v>18.2632</v>
      </c>
    </row>
  </sheetData>
  <sheetProtection selectLockedCells="1" selectUnlockedCells="1"/>
  <mergeCells count="61">
    <mergeCell ref="A1:I2"/>
    <mergeCell ref="A3:C3"/>
    <mergeCell ref="D3:E3"/>
    <mergeCell ref="A4:C4"/>
    <mergeCell ref="D4:E4"/>
    <mergeCell ref="M4:N4"/>
    <mergeCell ref="A5:C5"/>
    <mergeCell ref="D5:E5"/>
    <mergeCell ref="M5:P5"/>
    <mergeCell ref="A6:C6"/>
    <mergeCell ref="D6:E6"/>
    <mergeCell ref="L6:L9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M11:O11"/>
    <mergeCell ref="A12:C12"/>
    <mergeCell ref="D12:E12"/>
    <mergeCell ref="M12:N12"/>
    <mergeCell ref="A13:C13"/>
    <mergeCell ref="D13:E13"/>
    <mergeCell ref="M13:N13"/>
    <mergeCell ref="A14:C14"/>
    <mergeCell ref="D14:E14"/>
    <mergeCell ref="A15:C15"/>
    <mergeCell ref="D15:E15"/>
    <mergeCell ref="M15:O15"/>
    <mergeCell ref="A16:C16"/>
    <mergeCell ref="D16:E16"/>
    <mergeCell ref="A17:C17"/>
    <mergeCell ref="D17:E17"/>
    <mergeCell ref="A18:C18"/>
    <mergeCell ref="D18:E18"/>
    <mergeCell ref="K18:S18"/>
    <mergeCell ref="A19:C19"/>
    <mergeCell ref="D19:E19"/>
    <mergeCell ref="K19:L19"/>
    <mergeCell ref="P19:Q19"/>
    <mergeCell ref="A20:C20"/>
    <mergeCell ref="D20:E20"/>
    <mergeCell ref="M20:M21"/>
    <mergeCell ref="N20:N21"/>
    <mergeCell ref="R20:R21"/>
    <mergeCell ref="S20:S21"/>
    <mergeCell ref="A21:C21"/>
    <mergeCell ref="D21:E21"/>
    <mergeCell ref="A22:C22"/>
    <mergeCell ref="D22:E22"/>
    <mergeCell ref="K22:N22"/>
    <mergeCell ref="K23:L23"/>
    <mergeCell ref="P23:Q23"/>
    <mergeCell ref="M24:M25"/>
    <mergeCell ref="N24:N25"/>
    <mergeCell ref="R24:R2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2018-12-06T13:53:21Z</cp:lastPrinted>
  <dcterms:modified xsi:type="dcterms:W3CDTF">2018-12-17T13:16:16Z</dcterms:modified>
  <cp:category/>
  <cp:version/>
  <cp:contentType/>
  <cp:contentStatus/>
  <cp:revision>21</cp:revision>
</cp:coreProperties>
</file>