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lanilha Orcamentaria" sheetId="1" r:id="rId1"/>
    <sheet name="Cronograma Físico Financeiro" sheetId="2" state="hidden" r:id="rId2"/>
  </sheets>
  <definedNames>
    <definedName name="_xlnm.Print_Area" localSheetId="1">'Cronograma Físico Financeiro'!$A$1:$Q$50</definedName>
    <definedName name="_xlnm.Print_Titles" localSheetId="1">('Cronograma Físico Financeiro'!$A:$D,'Cronograma Físico Financeiro'!$1:$9)</definedName>
    <definedName name="_xlnm.Print_Area" localSheetId="0">'Planilha Orcamentaria'!$A$1:$H$180</definedName>
  </definedNames>
  <calcPr fullCalcOnLoad="1" fullPrecision="0"/>
</workbook>
</file>

<file path=xl/sharedStrings.xml><?xml version="1.0" encoding="utf-8"?>
<sst xmlns="http://schemas.openxmlformats.org/spreadsheetml/2006/main" count="380" uniqueCount="227">
  <si>
    <t>PLANILHA ORÇAMENTÁRIA DE CUSTOS</t>
  </si>
  <si>
    <t>INSTITUIÇÃO: PREFEITURA MUNICIPAL DE ESPÍRITO SANTO DO PINHAL</t>
  </si>
  <si>
    <t>FOLHA Nº: 01/01</t>
  </si>
  <si>
    <t>OBRA:  REVITALIZAÇÃO DA VICINAL MUNICIPAL ALBERTO BARTHOLOMEI</t>
  </si>
  <si>
    <t xml:space="preserve">            DATA: FEVEREIRO / 2019</t>
  </si>
  <si>
    <t>LOCAL: ESP-020 VICINAL MUNICIPAL ALBERTO BARTHOLOMEI, ESPÍRITO SANTO DO PINHAL - SP</t>
  </si>
  <si>
    <t xml:space="preserve">FORMA DE EXECUÇÃO: </t>
  </si>
  <si>
    <t>FONTES: CPOS 174 SEM DESONERAÇÃO  E  TPU-DER SEM DESONERAÇÃO, 31/12/2018</t>
  </si>
  <si>
    <t>(    )</t>
  </si>
  <si>
    <t>ADMINISTRAÇÃO DIRETA</t>
  </si>
  <si>
    <t>( X )</t>
  </si>
  <si>
    <t>ADMINISTRAÇÃO INDIRETA</t>
  </si>
  <si>
    <t>PRAZO DE EXECUÇÃO: 06 Meses</t>
  </si>
  <si>
    <t>Composição do BDI sugerida</t>
  </si>
  <si>
    <t>Intervalos admissíveis sem justificativa</t>
  </si>
  <si>
    <t>Composição adotada</t>
  </si>
  <si>
    <t>BDI  Proposto:</t>
  </si>
  <si>
    <t>Administração Central (AC)</t>
  </si>
  <si>
    <t>De 3,80 % até 4,67%</t>
  </si>
  <si>
    <t>Lucro (L)</t>
  </si>
  <si>
    <t>De 6,64 % até 8,69%</t>
  </si>
  <si>
    <t>Despesas Financeiras (DF)</t>
  </si>
  <si>
    <t>De 1,02 % até 1,21%</t>
  </si>
  <si>
    <t>Seguros (S)</t>
  </si>
  <si>
    <t>De 0,32 % até 0,74%</t>
  </si>
  <si>
    <r>
      <rPr>
        <u val="single"/>
        <sz val="8"/>
        <rFont val="Arial"/>
        <family val="2"/>
      </rPr>
      <t>Observação</t>
    </r>
    <r>
      <rPr>
        <sz val="8"/>
        <rFont val="Arial"/>
        <family val="2"/>
      </rPr>
      <t>: Composição do BDI, intervalos admissíveis e Fórmula de Cálculo nos termos do Acórdão 2622/2013 do TCU.</t>
    </r>
  </si>
  <si>
    <t>Garantias (G)</t>
  </si>
  <si>
    <t xml:space="preserve">Riscos (R) </t>
  </si>
  <si>
    <t>De 0,50 % até 0,97%</t>
  </si>
  <si>
    <t>Tributos (I)</t>
  </si>
  <si>
    <t>De 4,65 % até 6,15%</t>
  </si>
  <si>
    <t>ITEM</t>
  </si>
  <si>
    <t>FONTE</t>
  </si>
  <si>
    <t>CÓDIGO</t>
  </si>
  <si>
    <t>DESCRIÇÃO</t>
  </si>
  <si>
    <t>UNIDADE</t>
  </si>
  <si>
    <t xml:space="preserve">PREÇO UNITÁRIO </t>
  </si>
  <si>
    <t>QUANTIDADE</t>
  </si>
  <si>
    <t>PREÇO TOTAL</t>
  </si>
  <si>
    <t>TRECHO 1</t>
  </si>
  <si>
    <t>1.1</t>
  </si>
  <si>
    <t>SERVIÇOS PRELIMINARES</t>
  </si>
  <si>
    <t>1.1.1</t>
  </si>
  <si>
    <t>CPOS</t>
  </si>
  <si>
    <t>02.08.020</t>
  </si>
  <si>
    <t>Placa de identificação para obra</t>
  </si>
  <si>
    <t>M²</t>
  </si>
  <si>
    <t>1.1.2</t>
  </si>
  <si>
    <t>02.09.030</t>
  </si>
  <si>
    <t>Limpeza manual do terreno, inclusive troncos até 5 cm de diâmetro, com caminhão à disposição, dentro da obra, até o raio de 1,0 km</t>
  </si>
  <si>
    <t>1.1.3</t>
  </si>
  <si>
    <t>02.10.060</t>
  </si>
  <si>
    <t>Locação de vias, calçadas, tanques e lagoas</t>
  </si>
  <si>
    <t>m²</t>
  </si>
  <si>
    <t>1.1.4</t>
  </si>
  <si>
    <t>03.07.010</t>
  </si>
  <si>
    <t>Demolição (levantamento) mecanizada de pavimento asfáltico, inclusive carregamento, transporte até 1,0 quilômetro e descarregamento</t>
  </si>
  <si>
    <t>1.1.5</t>
  </si>
  <si>
    <t>03.01.260</t>
  </si>
  <si>
    <t>Demolição mecanizada de sarjeta ou sarjetão, inclusive fragmentação, carregamento, transporte até 1,0 quilômetro e descarregamento</t>
  </si>
  <si>
    <t>m³</t>
  </si>
  <si>
    <t>1.6</t>
  </si>
  <si>
    <t>1.7</t>
  </si>
  <si>
    <t>TOTAL DO ITEM</t>
  </si>
  <si>
    <t>1.2</t>
  </si>
  <si>
    <t>DRENAGEM</t>
  </si>
  <si>
    <t>1.2.1</t>
  </si>
  <si>
    <t>07.02.020</t>
  </si>
  <si>
    <t>Escavação mecanizada de valas ou cavas com profundidade de até 2,00 m</t>
  </si>
  <si>
    <t>1.2.2</t>
  </si>
  <si>
    <t>05.10.023</t>
  </si>
  <si>
    <t>Transporte de solo de 1ª e 2ª categoria por caminhão para distâncias superiores ao 5° km até o 10° km</t>
  </si>
  <si>
    <t>1.2.3</t>
  </si>
  <si>
    <t>05.10.010</t>
  </si>
  <si>
    <t>Carregamento mecanizado de solo de 1ª e 2ª categoria</t>
  </si>
  <si>
    <t>1.2.4</t>
  </si>
  <si>
    <t>07.10.020</t>
  </si>
  <si>
    <t>Espalhamento de solo em bota-fora com compactação sem controle</t>
  </si>
  <si>
    <t>1.2.5</t>
  </si>
  <si>
    <t>08.05.190</t>
  </si>
  <si>
    <t>Manta geotêxtil com resistência à tração longitudinal de 16kN/m e transversal de 14kN/m</t>
  </si>
  <si>
    <t>1.2.6</t>
  </si>
  <si>
    <t>08.05.100</t>
  </si>
  <si>
    <t>Dreno com pedra britada</t>
  </si>
  <si>
    <t>1.2.7</t>
  </si>
  <si>
    <t>46.13.026</t>
  </si>
  <si>
    <t>Tubo em polietileno de alta densidade corrugado perfurado, DN= 6´, inclusive conexões</t>
  </si>
  <si>
    <t>m</t>
  </si>
  <si>
    <t>1.2.8</t>
  </si>
  <si>
    <t>46.12.020</t>
  </si>
  <si>
    <t>Tubo de concreto (PS-1), DN= 400mm</t>
  </si>
  <si>
    <t>1.2.9</t>
  </si>
  <si>
    <t>46.12.040</t>
  </si>
  <si>
    <t>Tubo de concreto (PS-1), DN= 600mm</t>
  </si>
  <si>
    <t>1.2.10</t>
  </si>
  <si>
    <t>07.11.020</t>
  </si>
  <si>
    <t>Reaterro compactado mecanizado de vala ou cava com compactador</t>
  </si>
  <si>
    <t>1.2.11</t>
  </si>
  <si>
    <t>11.18.040</t>
  </si>
  <si>
    <t>Lastro de pedra britada</t>
  </si>
  <si>
    <t>1.2.12</t>
  </si>
  <si>
    <t>49.12.010</t>
  </si>
  <si>
    <t>Boca de lobo simples tipo PMSP com tampa de concreto</t>
  </si>
  <si>
    <t>un</t>
  </si>
  <si>
    <t>1.2.13</t>
  </si>
  <si>
    <t>54.06.160</t>
  </si>
  <si>
    <t>Sarjeta ou sarjetão moldado no local, tipo PMSP em concreto com fck 20 MPa</t>
  </si>
  <si>
    <t>1.2.14</t>
  </si>
  <si>
    <t>49.12.110</t>
  </si>
  <si>
    <t>Poço de visita de 1,60 x 1,60 x 1,60 m - tipo PMSP</t>
  </si>
  <si>
    <t>1.2.15</t>
  </si>
  <si>
    <t>49.06.420</t>
  </si>
  <si>
    <t>Tampão em ferro fundido de Ø 600 mm, classe 400 (ruptura&gt; 400 kN)</t>
  </si>
  <si>
    <t>1.2.16</t>
  </si>
  <si>
    <t>07.05.010</t>
  </si>
  <si>
    <t>Escavação e carga mecanizada em solo brejoso ou turfa</t>
  </si>
  <si>
    <t>1.3</t>
  </si>
  <si>
    <t>PAVIMENTAÇÃO</t>
  </si>
  <si>
    <t>1.3.1</t>
  </si>
  <si>
    <t>54.03.240</t>
  </si>
  <si>
    <t>Imprimação betuminosa impermeabilizante</t>
  </si>
  <si>
    <t>1.3.2</t>
  </si>
  <si>
    <t>54.03.210</t>
  </si>
  <si>
    <t>Camada de rolamento em concreto betuminoso usinado quente - CBUQ</t>
  </si>
  <si>
    <t>1.3.3</t>
  </si>
  <si>
    <t>54.03.230</t>
  </si>
  <si>
    <t>Imprimação betuminosa ligante</t>
  </si>
  <si>
    <t>1.3.4</t>
  </si>
  <si>
    <t>54.01.400</t>
  </si>
  <si>
    <t>Abertura de caixa até 25 cm, inclui escavação, compactação, transporte e preparo do sub-leito</t>
  </si>
  <si>
    <t>1.3.5</t>
  </si>
  <si>
    <t>54.01.210</t>
  </si>
  <si>
    <t>Base de brita graduada</t>
  </si>
  <si>
    <t>3.6</t>
  </si>
  <si>
    <t>3.7</t>
  </si>
  <si>
    <t>3.8</t>
  </si>
  <si>
    <t>3.9</t>
  </si>
  <si>
    <t>3.10</t>
  </si>
  <si>
    <t>3.11</t>
  </si>
  <si>
    <t>3.12</t>
  </si>
  <si>
    <t>SUB TOTAL TRECHO 1</t>
  </si>
  <si>
    <t>TRECHO 2</t>
  </si>
  <si>
    <t>2.1</t>
  </si>
  <si>
    <t>2.1.1</t>
  </si>
  <si>
    <t>2.1.2</t>
  </si>
  <si>
    <t>2.1.3</t>
  </si>
  <si>
    <t>2.1.4</t>
  </si>
  <si>
    <t>2.1.5</t>
  </si>
  <si>
    <t>2.1.6</t>
  </si>
  <si>
    <t>1.9</t>
  </si>
  <si>
    <t>1.12</t>
  </si>
  <si>
    <t>2.2</t>
  </si>
  <si>
    <t>2.2.1</t>
  </si>
  <si>
    <t>2.2.2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</si>
  <si>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</si>
  <si>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</si>
  <si>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</si>
  <si>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</si>
  <si>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</si>
  <si>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</si>
  <si>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</si>
  <si>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</si>
  <si>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</si>
  <si>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</si>
  <si>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</si>
  <si>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2.3</t>
  </si>
  <si>
    <t>2.3.1</t>
  </si>
  <si>
    <t>54.01.410</t>
  </si>
  <si>
    <t>Varrição de pavimento para recapeamento</t>
  </si>
  <si>
    <t>2.3.2</t>
  </si>
  <si>
    <t>2.3.3</t>
  </si>
  <si>
    <t>2.3.4</t>
  </si>
  <si>
    <t>54.03.200</t>
  </si>
  <si>
    <t>Concreto asfáltico usinado a quente - Blinder</t>
  </si>
  <si>
    <t>2.3.5</t>
  </si>
  <si>
    <t>2.3.6</t>
  </si>
  <si>
    <t>2.3.7</t>
  </si>
  <si>
    <t>2.3.8</t>
  </si>
  <si>
    <t>2.3.9</t>
  </si>
  <si>
    <t>2.3.10</t>
  </si>
  <si>
    <t>2.3.11</t>
  </si>
  <si>
    <t>2.3.12</t>
  </si>
  <si>
    <t>2.4</t>
  </si>
  <si>
    <t>SINALIZAÇÃO</t>
  </si>
  <si>
    <t>2.4.1</t>
  </si>
  <si>
    <t>97.04.010</t>
  </si>
  <si>
    <t>Sinalização horizontal com tinta vinílica ou acrílica</t>
  </si>
  <si>
    <t>2.4.2</t>
  </si>
  <si>
    <t>DER/SP</t>
  </si>
  <si>
    <t xml:space="preserve">37.05.10.01 </t>
  </si>
  <si>
    <t>TACHA REFLETIVA MONODIRECIONAL TIPO III OU IV ABNT (VIDRO OU PRISMATICA)</t>
  </si>
  <si>
    <t>UN.</t>
  </si>
  <si>
    <t>2.4.3</t>
  </si>
  <si>
    <t xml:space="preserve">37.05.11.01 </t>
  </si>
  <si>
    <t xml:space="preserve">TACHA REFLETIVA BIDIRECIONAL TIPO III OU ABNT (VIDRO OU PRISMATICA) </t>
  </si>
  <si>
    <t>2.4.4</t>
  </si>
  <si>
    <t>2.4.5</t>
  </si>
  <si>
    <t>2.4.6</t>
  </si>
  <si>
    <t>2.4.7</t>
  </si>
  <si>
    <t>2.4.8</t>
  </si>
  <si>
    <t>2.4.9</t>
  </si>
  <si>
    <t>2.4.10</t>
  </si>
  <si>
    <t>2.4.11</t>
  </si>
  <si>
    <t>SUB TOTAL TRECHO 2</t>
  </si>
  <si>
    <t>TOTAL DOS TRECHOS 1 E 2</t>
  </si>
  <si>
    <t>BDI - 23,02%</t>
  </si>
  <si>
    <t>TOTAL GERAL</t>
  </si>
  <si>
    <r>
      <rPr>
        <b/>
        <sz val="40"/>
        <rFont val="Arial"/>
        <family val="2"/>
      </rPr>
      <t xml:space="preserve">Município de Espírito Santo do Pinhal
</t>
    </r>
    <r>
      <rPr>
        <b/>
        <sz val="20"/>
        <rFont val="Arial"/>
        <family val="2"/>
      </rPr>
      <t>"Fazendo de um lugar bom cada vez melhor"</t>
    </r>
  </si>
  <si>
    <t>CRONOGRAMA FÍSICO - FINANCEIRO</t>
  </si>
  <si>
    <t>Item</t>
  </si>
  <si>
    <t>Discriminação</t>
  </si>
  <si>
    <t>Valor</t>
  </si>
  <si>
    <t>Peso</t>
  </si>
  <si>
    <t>MÊS 1</t>
  </si>
  <si>
    <t>MÊS 2</t>
  </si>
  <si>
    <t>MÊS 3</t>
  </si>
  <si>
    <t>MÊS 4</t>
  </si>
  <si>
    <t>MÊS 5</t>
  </si>
  <si>
    <t>MÊS 6</t>
  </si>
  <si>
    <t>MÊS 7</t>
  </si>
  <si>
    <t>MÊS 8</t>
  </si>
  <si>
    <t>MÊS 9</t>
  </si>
  <si>
    <t>MÊS 10</t>
  </si>
  <si>
    <t>MÊS 11</t>
  </si>
  <si>
    <t>MÊS 12</t>
  </si>
  <si>
    <t>TOTAL</t>
  </si>
  <si>
    <t xml:space="preserve">Total  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</si>
</sst>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%"/>
    <numFmt numFmtId="166" formatCode="_(* #,##0.00_);_(* \(#,##0.00\);_(* \-??_);_(@_)"/>
    <numFmt numFmtId="167" formatCode="_(&quot;R$ &quot;* #,##0.00_);_(&quot;R$ &quot;* \(#,##0.00\);_(&quot;R$ &quot;* \-??_);_(@_)"/>
    <numFmt numFmtId="168" formatCode="0.00"/>
    <numFmt numFmtId="169" formatCode="0.00%"/>
    <numFmt numFmtId="170" formatCode="#,##0.00"/>
    <numFmt numFmtId="171" formatCode="@"/>
    <numFmt numFmtId="172" formatCode="[$R$-416]\ #,##0.00;[RED]\-[$R$-416]\ #,##0.00"/>
    <numFmt numFmtId="173" formatCode="_-* #,##0.00_-;\-* #,##0.00_-;_-* \-??_-;_-@_-"/>
  </numFmts>
  <fonts count="1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3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sz val="10"/>
      <color indexed="8"/>
      <name val="Arial"/>
      <family val="2"/>
    </font>
    <font>
      <sz val="8"/>
      <color indexed="18"/>
      <name val="Arial"/>
      <family val="2"/>
    </font>
    <font>
      <sz val="8"/>
      <color indexed="56"/>
      <name val="Arial"/>
      <family val="2"/>
    </font>
    <font>
      <b/>
      <sz val="12"/>
      <name val="Arial"/>
      <family val="2"/>
    </font>
    <font>
      <b/>
      <sz val="40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b/>
      <sz val="8"/>
      <color indexed="18"/>
      <name val="Arial"/>
      <family val="2"/>
    </font>
    <font>
      <b/>
      <sz val="12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167" fontId="0" fillId="0" borderId="0" applyFill="0" applyBorder="0" applyAlignment="0" applyProtection="0"/>
    <xf numFmtId="42" fontId="0" fillId="0" borderId="0" applyFill="0" applyBorder="0" applyAlignment="0" applyProtection="0"/>
    <xf numFmtId="165" fontId="0" fillId="0" borderId="0" applyFill="0" applyBorder="0" applyAlignment="0" applyProtection="0"/>
    <xf numFmtId="164" fontId="1" fillId="0" borderId="0">
      <alignment/>
      <protection/>
    </xf>
    <xf numFmtId="165" fontId="0" fillId="0" borderId="0" applyFill="0" applyBorder="0" applyAlignment="0" applyProtection="0"/>
    <xf numFmtId="166" fontId="0" fillId="0" borderId="0" applyFill="0" applyBorder="0" applyAlignment="0" applyProtection="0"/>
  </cellStyleXfs>
  <cellXfs count="23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 horizontal="center" vertical="center"/>
    </xf>
    <xf numFmtId="164" fontId="2" fillId="0" borderId="0" xfId="0" applyFont="1" applyAlignment="1">
      <alignment horizontal="left" vertical="center" wrapText="1"/>
    </xf>
    <xf numFmtId="167" fontId="2" fillId="0" borderId="0" xfId="17" applyFont="1" applyFill="1" applyBorder="1" applyAlignment="1" applyProtection="1">
      <alignment horizontal="center" vertical="center"/>
      <protection/>
    </xf>
    <xf numFmtId="168" fontId="0" fillId="0" borderId="0" xfId="0" applyNumberFormat="1" applyAlignment="1">
      <alignment/>
    </xf>
    <xf numFmtId="164" fontId="0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0" fillId="0" borderId="1" xfId="0" applyFont="1" applyFill="1" applyBorder="1" applyAlignment="1">
      <alignment horizont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7" fontId="2" fillId="0" borderId="1" xfId="17" applyFont="1" applyFill="1" applyBorder="1" applyAlignment="1" applyProtection="1">
      <alignment horizontal="center" vertical="center"/>
      <protection/>
    </xf>
    <xf numFmtId="164" fontId="4" fillId="2" borderId="2" xfId="0" applyFont="1" applyFill="1" applyBorder="1" applyAlignment="1">
      <alignment horizontal="center" vertical="center"/>
    </xf>
    <xf numFmtId="164" fontId="4" fillId="0" borderId="3" xfId="0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/>
    </xf>
    <xf numFmtId="164" fontId="5" fillId="0" borderId="3" xfId="0" applyFont="1" applyFill="1" applyBorder="1" applyAlignment="1">
      <alignment horizontal="left" vertical="center" wrapText="1"/>
    </xf>
    <xf numFmtId="167" fontId="5" fillId="0" borderId="3" xfId="17" applyFont="1" applyFill="1" applyBorder="1" applyAlignment="1" applyProtection="1">
      <alignment horizontal="center" vertical="center"/>
      <protection/>
    </xf>
    <xf numFmtId="164" fontId="4" fillId="0" borderId="4" xfId="0" applyFont="1" applyFill="1" applyBorder="1" applyAlignment="1">
      <alignment horizontal="left" vertical="top"/>
    </xf>
    <xf numFmtId="164" fontId="5" fillId="0" borderId="5" xfId="0" applyFont="1" applyFill="1" applyBorder="1" applyAlignment="1">
      <alignment horizontal="center" vertical="center"/>
    </xf>
    <xf numFmtId="164" fontId="5" fillId="0" borderId="5" xfId="0" applyFont="1" applyFill="1" applyBorder="1" applyAlignment="1">
      <alignment horizontal="left" vertical="center" wrapText="1"/>
    </xf>
    <xf numFmtId="167" fontId="5" fillId="0" borderId="6" xfId="17" applyFont="1" applyFill="1" applyBorder="1" applyAlignment="1" applyProtection="1">
      <alignment horizontal="center" vertical="center"/>
      <protection/>
    </xf>
    <xf numFmtId="164" fontId="5" fillId="0" borderId="7" xfId="0" applyFont="1" applyFill="1" applyBorder="1" applyAlignment="1">
      <alignment horizontal="center" vertical="center"/>
    </xf>
    <xf numFmtId="164" fontId="4" fillId="0" borderId="8" xfId="0" applyFont="1" applyFill="1" applyBorder="1" applyAlignment="1">
      <alignment horizontal="left" vertical="top"/>
    </xf>
    <xf numFmtId="164" fontId="5" fillId="0" borderId="9" xfId="0" applyFont="1" applyFill="1" applyBorder="1" applyAlignment="1">
      <alignment horizontal="center" vertical="center"/>
    </xf>
    <xf numFmtId="164" fontId="5" fillId="0" borderId="9" xfId="0" applyFont="1" applyFill="1" applyBorder="1" applyAlignment="1">
      <alignment horizontal="left" vertical="center" wrapText="1"/>
    </xf>
    <xf numFmtId="167" fontId="5" fillId="0" borderId="10" xfId="17" applyFont="1" applyFill="1" applyBorder="1" applyAlignment="1" applyProtection="1">
      <alignment horizontal="center" vertical="center"/>
      <protection/>
    </xf>
    <xf numFmtId="164" fontId="5" fillId="0" borderId="11" xfId="0" applyFont="1" applyFill="1" applyBorder="1" applyAlignment="1">
      <alignment horizontal="center" vertical="center"/>
    </xf>
    <xf numFmtId="164" fontId="4" fillId="0" borderId="8" xfId="0" applyFont="1" applyFill="1" applyBorder="1" applyAlignment="1">
      <alignment horizontal="left" vertical="top" wrapText="1"/>
    </xf>
    <xf numFmtId="167" fontId="5" fillId="0" borderId="9" xfId="17" applyFont="1" applyFill="1" applyBorder="1" applyAlignment="1" applyProtection="1">
      <alignment horizontal="left" vertical="center"/>
      <protection/>
    </xf>
    <xf numFmtId="164" fontId="4" fillId="0" borderId="8" xfId="0" applyFont="1" applyFill="1" applyBorder="1" applyAlignment="1">
      <alignment horizontal="left" vertical="center"/>
    </xf>
    <xf numFmtId="167" fontId="5" fillId="0" borderId="12" xfId="17" applyFont="1" applyFill="1" applyBorder="1" applyAlignment="1" applyProtection="1">
      <alignment horizontal="center" vertical="center"/>
      <protection/>
    </xf>
    <xf numFmtId="167" fontId="5" fillId="0" borderId="12" xfId="17" applyFont="1" applyFill="1" applyBorder="1" applyAlignment="1" applyProtection="1">
      <alignment horizontal="center" vertical="center" wrapText="1"/>
      <protection/>
    </xf>
    <xf numFmtId="167" fontId="5" fillId="0" borderId="13" xfId="17" applyFont="1" applyFill="1" applyBorder="1" applyAlignment="1" applyProtection="1">
      <alignment horizontal="center" vertical="center" wrapText="1"/>
      <protection/>
    </xf>
    <xf numFmtId="164" fontId="4" fillId="0" borderId="14" xfId="0" applyFont="1" applyFill="1" applyBorder="1" applyAlignment="1">
      <alignment vertical="center"/>
    </xf>
    <xf numFmtId="164" fontId="5" fillId="0" borderId="15" xfId="0" applyFont="1" applyFill="1" applyBorder="1" applyAlignment="1">
      <alignment horizontal="center" vertical="center"/>
    </xf>
    <xf numFmtId="164" fontId="5" fillId="0" borderId="15" xfId="0" applyFont="1" applyFill="1" applyBorder="1" applyAlignment="1">
      <alignment horizontal="left" vertical="center" wrapText="1"/>
    </xf>
    <xf numFmtId="164" fontId="4" fillId="0" borderId="0" xfId="0" applyFont="1" applyFill="1" applyBorder="1" applyAlignment="1">
      <alignment horizontal="left" vertical="center" wrapText="1"/>
    </xf>
    <xf numFmtId="164" fontId="5" fillId="0" borderId="0" xfId="0" applyFont="1" applyFill="1" applyBorder="1" applyAlignment="1">
      <alignment horizontal="center" vertical="center" wrapText="1"/>
    </xf>
    <xf numFmtId="164" fontId="5" fillId="0" borderId="0" xfId="0" applyFont="1" applyFill="1" applyBorder="1" applyAlignment="1">
      <alignment horizontal="left" vertical="center" wrapText="1"/>
    </xf>
    <xf numFmtId="167" fontId="5" fillId="0" borderId="0" xfId="17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>
      <alignment horizontal="center" vertical="center"/>
    </xf>
    <xf numFmtId="164" fontId="4" fillId="2" borderId="16" xfId="0" applyFont="1" applyFill="1" applyBorder="1" applyAlignment="1">
      <alignment horizontal="center" vertical="center" wrapText="1"/>
    </xf>
    <xf numFmtId="164" fontId="5" fillId="2" borderId="16" xfId="0" applyFont="1" applyFill="1" applyBorder="1" applyAlignment="1">
      <alignment horizontal="left" vertical="center" wrapText="1"/>
    </xf>
    <xf numFmtId="164" fontId="5" fillId="2" borderId="16" xfId="0" applyFont="1" applyFill="1" applyBorder="1" applyAlignment="1">
      <alignment horizontal="center" vertical="center"/>
    </xf>
    <xf numFmtId="164" fontId="5" fillId="2" borderId="2" xfId="0" applyFont="1" applyFill="1" applyBorder="1" applyAlignment="1">
      <alignment horizontal="center" vertical="center"/>
    </xf>
    <xf numFmtId="164" fontId="5" fillId="2" borderId="17" xfId="0" applyFont="1" applyFill="1" applyBorder="1" applyAlignment="1">
      <alignment horizontal="center" vertical="center"/>
    </xf>
    <xf numFmtId="164" fontId="0" fillId="0" borderId="18" xfId="0" applyFont="1" applyFill="1" applyBorder="1" applyAlignment="1">
      <alignment horizontal="left" vertical="center" wrapText="1"/>
    </xf>
    <xf numFmtId="164" fontId="2" fillId="0" borderId="18" xfId="0" applyFont="1" applyFill="1" applyBorder="1" applyAlignment="1">
      <alignment horizontal="left" vertical="center" wrapText="1"/>
    </xf>
    <xf numFmtId="169" fontId="2" fillId="0" borderId="18" xfId="0" applyNumberFormat="1" applyFont="1" applyFill="1" applyBorder="1" applyAlignment="1">
      <alignment horizontal="center" vertical="center"/>
    </xf>
    <xf numFmtId="164" fontId="2" fillId="0" borderId="19" xfId="0" applyFont="1" applyFill="1" applyBorder="1" applyAlignment="1">
      <alignment horizontal="center" vertical="center"/>
    </xf>
    <xf numFmtId="164" fontId="2" fillId="0" borderId="20" xfId="0" applyFont="1" applyFill="1" applyBorder="1" applyAlignment="1">
      <alignment horizontal="center" vertical="center"/>
    </xf>
    <xf numFmtId="164" fontId="0" fillId="0" borderId="21" xfId="0" applyFont="1" applyFill="1" applyBorder="1" applyAlignment="1">
      <alignment horizontal="left" vertical="center" wrapText="1"/>
    </xf>
    <xf numFmtId="164" fontId="2" fillId="0" borderId="21" xfId="0" applyFont="1" applyFill="1" applyBorder="1" applyAlignment="1">
      <alignment horizontal="left" vertical="center" wrapText="1"/>
    </xf>
    <xf numFmtId="169" fontId="2" fillId="0" borderId="21" xfId="0" applyNumberFormat="1" applyFont="1" applyFill="1" applyBorder="1" applyAlignment="1">
      <alignment horizontal="center" vertical="center" wrapText="1"/>
    </xf>
    <xf numFmtId="164" fontId="2" fillId="0" borderId="22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6" fillId="0" borderId="23" xfId="0" applyFont="1" applyFill="1" applyBorder="1" applyAlignment="1">
      <alignment horizontal="center" vertical="center" wrapText="1"/>
    </xf>
    <xf numFmtId="164" fontId="0" fillId="0" borderId="24" xfId="0" applyFont="1" applyFill="1" applyBorder="1" applyAlignment="1">
      <alignment horizontal="left" vertical="center" wrapText="1"/>
    </xf>
    <xf numFmtId="164" fontId="2" fillId="0" borderId="24" xfId="0" applyFont="1" applyFill="1" applyBorder="1" applyAlignment="1">
      <alignment horizontal="left" vertical="center" wrapText="1"/>
    </xf>
    <xf numFmtId="169" fontId="2" fillId="0" borderId="24" xfId="0" applyNumberFormat="1" applyFont="1" applyFill="1" applyBorder="1" applyAlignment="1">
      <alignment horizontal="center" vertical="center" wrapText="1"/>
    </xf>
    <xf numFmtId="164" fontId="4" fillId="0" borderId="3" xfId="0" applyFont="1" applyFill="1" applyBorder="1" applyAlignment="1">
      <alignment horizontal="center" vertical="center" wrapText="1"/>
    </xf>
    <xf numFmtId="164" fontId="5" fillId="0" borderId="3" xfId="0" applyFont="1" applyFill="1" applyBorder="1" applyAlignment="1">
      <alignment horizontal="center" vertical="center" wrapText="1"/>
    </xf>
    <xf numFmtId="167" fontId="5" fillId="0" borderId="3" xfId="17" applyFont="1" applyFill="1" applyBorder="1" applyAlignment="1" applyProtection="1">
      <alignment horizontal="center" vertical="center" wrapText="1"/>
      <protection/>
    </xf>
    <xf numFmtId="164" fontId="4" fillId="2" borderId="25" xfId="0" applyFont="1" applyFill="1" applyBorder="1" applyAlignment="1">
      <alignment horizontal="center" vertical="center"/>
    </xf>
    <xf numFmtId="164" fontId="5" fillId="2" borderId="26" xfId="0" applyFont="1" applyFill="1" applyBorder="1" applyAlignment="1">
      <alignment horizontal="center" vertical="center"/>
    </xf>
    <xf numFmtId="164" fontId="5" fillId="2" borderId="27" xfId="0" applyFont="1" applyFill="1" applyBorder="1" applyAlignment="1">
      <alignment horizontal="center" vertical="center"/>
    </xf>
    <xf numFmtId="164" fontId="5" fillId="2" borderId="28" xfId="0" applyFont="1" applyFill="1" applyBorder="1" applyAlignment="1">
      <alignment vertical="center" wrapText="1"/>
    </xf>
    <xf numFmtId="167" fontId="5" fillId="2" borderId="27" xfId="17" applyFont="1" applyFill="1" applyBorder="1" applyAlignment="1" applyProtection="1">
      <alignment horizontal="center" vertical="center" wrapText="1"/>
      <protection/>
    </xf>
    <xf numFmtId="164" fontId="5" fillId="2" borderId="27" xfId="0" applyFont="1" applyFill="1" applyBorder="1" applyAlignment="1">
      <alignment horizontal="center" vertical="center" wrapText="1"/>
    </xf>
    <xf numFmtId="167" fontId="5" fillId="2" borderId="29" xfId="17" applyFont="1" applyFill="1" applyBorder="1" applyAlignment="1" applyProtection="1">
      <alignment horizontal="center" vertical="center" wrapText="1"/>
      <protection/>
    </xf>
    <xf numFmtId="164" fontId="5" fillId="3" borderId="19" xfId="0" applyFont="1" applyFill="1" applyBorder="1" applyAlignment="1">
      <alignment horizontal="center" vertical="center" wrapText="1"/>
    </xf>
    <xf numFmtId="164" fontId="5" fillId="3" borderId="20" xfId="0" applyFont="1" applyFill="1" applyBorder="1" applyAlignment="1">
      <alignment horizontal="center" vertical="center" wrapText="1"/>
    </xf>
    <xf numFmtId="167" fontId="5" fillId="3" borderId="20" xfId="17" applyFont="1" applyFill="1" applyBorder="1" applyAlignment="1" applyProtection="1">
      <alignment horizontal="center" vertical="center" wrapText="1"/>
      <protection/>
    </xf>
    <xf numFmtId="164" fontId="5" fillId="3" borderId="3" xfId="0" applyFont="1" applyFill="1" applyBorder="1" applyAlignment="1">
      <alignment horizontal="center" vertical="center" wrapText="1"/>
    </xf>
    <xf numFmtId="168" fontId="0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2" fillId="0" borderId="30" xfId="0" applyFont="1" applyBorder="1" applyAlignment="1">
      <alignment horizontal="center" vertical="center" wrapText="1"/>
    </xf>
    <xf numFmtId="164" fontId="2" fillId="0" borderId="30" xfId="0" applyFont="1" applyBorder="1" applyAlignment="1">
      <alignment horizontal="center" vertical="center"/>
    </xf>
    <xf numFmtId="164" fontId="2" fillId="0" borderId="30" xfId="0" applyFont="1" applyBorder="1" applyAlignment="1">
      <alignment vertical="center" wrapText="1"/>
    </xf>
    <xf numFmtId="168" fontId="2" fillId="0" borderId="30" xfId="15" applyNumberFormat="1" applyFont="1" applyFill="1" applyBorder="1" applyAlignment="1" applyProtection="1">
      <alignment horizontal="center" vertical="center" wrapText="1"/>
      <protection/>
    </xf>
    <xf numFmtId="167" fontId="2" fillId="0" borderId="30" xfId="17" applyFont="1" applyFill="1" applyBorder="1" applyAlignment="1" applyProtection="1">
      <alignment horizontal="center" vertical="center" wrapText="1"/>
      <protection/>
    </xf>
    <xf numFmtId="170" fontId="2" fillId="0" borderId="30" xfId="0" applyNumberFormat="1" applyFont="1" applyBorder="1" applyAlignment="1">
      <alignment horizontal="center" vertical="center" wrapText="1"/>
    </xf>
    <xf numFmtId="167" fontId="2" fillId="0" borderId="31" xfId="17" applyFont="1" applyFill="1" applyBorder="1" applyAlignment="1" applyProtection="1">
      <alignment horizontal="center" vertical="center" wrapText="1"/>
      <protection/>
    </xf>
    <xf numFmtId="164" fontId="2" fillId="0" borderId="30" xfId="20" applyFont="1" applyBorder="1" applyAlignment="1">
      <alignment horizontal="center" vertical="center"/>
      <protection/>
    </xf>
    <xf numFmtId="164" fontId="2" fillId="0" borderId="30" xfId="20" applyFont="1" applyBorder="1" applyAlignment="1">
      <alignment wrapText="1"/>
      <protection/>
    </xf>
    <xf numFmtId="167" fontId="2" fillId="0" borderId="30" xfId="17" applyFont="1" applyFill="1" applyBorder="1" applyAlignment="1" applyProtection="1">
      <alignment horizontal="center" vertical="center"/>
      <protection/>
    </xf>
    <xf numFmtId="164" fontId="7" fillId="0" borderId="30" xfId="20" applyFont="1" applyBorder="1" applyAlignment="1">
      <alignment horizontal="center" vertical="center"/>
      <protection/>
    </xf>
    <xf numFmtId="164" fontId="7" fillId="0" borderId="30" xfId="20" applyFont="1" applyBorder="1" applyAlignment="1">
      <alignment wrapText="1"/>
      <protection/>
    </xf>
    <xf numFmtId="167" fontId="7" fillId="0" borderId="30" xfId="17" applyFont="1" applyFill="1" applyBorder="1" applyAlignment="1" applyProtection="1">
      <alignment horizontal="center" vertical="center"/>
      <protection/>
    </xf>
    <xf numFmtId="171" fontId="5" fillId="0" borderId="30" xfId="0" applyNumberFormat="1" applyFont="1" applyBorder="1" applyAlignment="1">
      <alignment horizontal="center" vertical="center" wrapText="1"/>
    </xf>
    <xf numFmtId="164" fontId="5" fillId="0" borderId="30" xfId="0" applyFont="1" applyBorder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vertical="center" wrapText="1"/>
    </xf>
    <xf numFmtId="168" fontId="2" fillId="0" borderId="0" xfId="15" applyNumberFormat="1" applyFont="1" applyFill="1" applyBorder="1" applyAlignment="1" applyProtection="1">
      <alignment horizontal="center" vertical="center" wrapText="1"/>
      <protection/>
    </xf>
    <xf numFmtId="167" fontId="2" fillId="0" borderId="0" xfId="17" applyFont="1" applyFill="1" applyBorder="1" applyAlignment="1" applyProtection="1">
      <alignment horizontal="center" vertical="center" wrapText="1"/>
      <protection/>
    </xf>
    <xf numFmtId="170" fontId="8" fillId="0" borderId="31" xfId="0" applyNumberFormat="1" applyFont="1" applyBorder="1" applyAlignment="1">
      <alignment horizontal="center" vertical="center" wrapText="1"/>
    </xf>
    <xf numFmtId="167" fontId="8" fillId="0" borderId="30" xfId="17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Alignment="1">
      <alignment/>
    </xf>
    <xf numFmtId="171" fontId="2" fillId="0" borderId="0" xfId="0" applyNumberFormat="1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70" fontId="2" fillId="0" borderId="0" xfId="0" applyNumberFormat="1" applyFont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7" fontId="5" fillId="3" borderId="3" xfId="17" applyFont="1" applyFill="1" applyBorder="1" applyAlignment="1" applyProtection="1">
      <alignment horizontal="center" vertical="center" wrapText="1"/>
      <protection/>
    </xf>
    <xf numFmtId="170" fontId="2" fillId="0" borderId="30" xfId="0" applyNumberFormat="1" applyFont="1" applyFill="1" applyBorder="1" applyAlignment="1">
      <alignment horizontal="center" vertical="center" wrapText="1"/>
    </xf>
    <xf numFmtId="170" fontId="0" fillId="0" borderId="0" xfId="0" applyNumberFormat="1" applyAlignment="1">
      <alignment/>
    </xf>
    <xf numFmtId="172" fontId="0" fillId="0" borderId="0" xfId="0" applyNumberFormat="1" applyAlignment="1">
      <alignment/>
    </xf>
    <xf numFmtId="166" fontId="2" fillId="0" borderId="30" xfId="22" applyFont="1" applyFill="1" applyBorder="1" applyAlignment="1" applyProtection="1">
      <alignment horizontal="center" vertical="center"/>
      <protection/>
    </xf>
    <xf numFmtId="164" fontId="2" fillId="0" borderId="0" xfId="0" applyFont="1" applyBorder="1" applyAlignment="1">
      <alignment horizontal="left" vertical="center" wrapText="1"/>
    </xf>
    <xf numFmtId="167" fontId="8" fillId="0" borderId="31" xfId="17" applyFont="1" applyFill="1" applyBorder="1" applyAlignment="1" applyProtection="1">
      <alignment horizontal="center" vertical="center" wrapText="1"/>
      <protection/>
    </xf>
    <xf numFmtId="164" fontId="0" fillId="0" borderId="0" xfId="0" applyBorder="1" applyAlignment="1">
      <alignment/>
    </xf>
    <xf numFmtId="164" fontId="2" fillId="0" borderId="31" xfId="0" applyFont="1" applyBorder="1" applyAlignment="1">
      <alignment horizontal="center" vertical="center" wrapText="1"/>
    </xf>
    <xf numFmtId="170" fontId="2" fillId="0" borderId="31" xfId="0" applyNumberFormat="1" applyFont="1" applyBorder="1" applyAlignment="1">
      <alignment horizontal="center" vertical="center" wrapText="1"/>
    </xf>
    <xf numFmtId="164" fontId="9" fillId="0" borderId="0" xfId="20" applyFont="1" applyBorder="1" applyAlignment="1">
      <alignment wrapText="1"/>
      <protection/>
    </xf>
    <xf numFmtId="166" fontId="9" fillId="0" borderId="0" xfId="22" applyFont="1" applyFill="1" applyBorder="1" applyAlignment="1" applyProtection="1">
      <alignment/>
      <protection/>
    </xf>
    <xf numFmtId="170" fontId="10" fillId="0" borderId="0" xfId="0" applyNumberFormat="1" applyFont="1" applyBorder="1" applyAlignment="1">
      <alignment horizontal="center" vertical="center" wrapText="1"/>
    </xf>
    <xf numFmtId="173" fontId="0" fillId="0" borderId="0" xfId="0" applyNumberFormat="1" applyBorder="1" applyAlignment="1">
      <alignment/>
    </xf>
    <xf numFmtId="170" fontId="0" fillId="0" borderId="0" xfId="0" applyNumberFormat="1" applyBorder="1" applyAlignment="1">
      <alignment/>
    </xf>
    <xf numFmtId="164" fontId="2" fillId="0" borderId="30" xfId="0" applyFont="1" applyBorder="1" applyAlignment="1">
      <alignment wrapText="1"/>
    </xf>
    <xf numFmtId="164" fontId="11" fillId="0" borderId="0" xfId="0" applyFont="1" applyBorder="1" applyAlignment="1">
      <alignment vertical="center" wrapText="1"/>
    </xf>
    <xf numFmtId="166" fontId="2" fillId="0" borderId="31" xfId="22" applyFont="1" applyFill="1" applyBorder="1" applyAlignment="1" applyProtection="1">
      <alignment horizontal="center" vertical="center" wrapText="1"/>
      <protection/>
    </xf>
    <xf numFmtId="171" fontId="2" fillId="0" borderId="31" xfId="0" applyNumberFormat="1" applyFont="1" applyBorder="1" applyAlignment="1">
      <alignment horizontal="center" vertical="center" wrapText="1"/>
    </xf>
    <xf numFmtId="164" fontId="2" fillId="0" borderId="32" xfId="0" applyFont="1" applyBorder="1" applyAlignment="1">
      <alignment vertical="center" wrapText="1"/>
    </xf>
    <xf numFmtId="164" fontId="2" fillId="0" borderId="33" xfId="0" applyFont="1" applyBorder="1" applyAlignment="1">
      <alignment horizontal="center" vertical="center" wrapText="1"/>
    </xf>
    <xf numFmtId="171" fontId="2" fillId="0" borderId="34" xfId="0" applyNumberFormat="1" applyFont="1" applyBorder="1" applyAlignment="1">
      <alignment horizontal="center" vertical="center" wrapText="1"/>
    </xf>
    <xf numFmtId="164" fontId="2" fillId="0" borderId="35" xfId="0" applyFont="1" applyBorder="1" applyAlignment="1">
      <alignment horizontal="left" vertical="center" wrapText="1"/>
    </xf>
    <xf numFmtId="166" fontId="2" fillId="0" borderId="34" xfId="15" applyFont="1" applyFill="1" applyBorder="1" applyAlignment="1" applyProtection="1">
      <alignment horizontal="center" vertical="center" wrapText="1"/>
      <protection/>
    </xf>
    <xf numFmtId="167" fontId="2" fillId="0" borderId="34" xfId="17" applyFont="1" applyFill="1" applyBorder="1" applyAlignment="1" applyProtection="1">
      <alignment horizontal="center" vertical="center" wrapText="1"/>
      <protection/>
    </xf>
    <xf numFmtId="170" fontId="2" fillId="0" borderId="34" xfId="0" applyNumberFormat="1" applyFont="1" applyBorder="1" applyAlignment="1">
      <alignment horizontal="center" vertical="center" wrapText="1"/>
    </xf>
    <xf numFmtId="167" fontId="2" fillId="0" borderId="36" xfId="17" applyFont="1" applyFill="1" applyBorder="1" applyAlignment="1" applyProtection="1">
      <alignment horizontal="center" vertical="center" wrapText="1"/>
      <protection/>
    </xf>
    <xf numFmtId="164" fontId="2" fillId="0" borderId="37" xfId="0" applyFont="1" applyBorder="1" applyAlignment="1">
      <alignment horizontal="center" vertical="center" wrapText="1"/>
    </xf>
    <xf numFmtId="171" fontId="2" fillId="0" borderId="38" xfId="0" applyNumberFormat="1" applyFont="1" applyBorder="1" applyAlignment="1">
      <alignment horizontal="center" vertical="center" wrapText="1"/>
    </xf>
    <xf numFmtId="164" fontId="2" fillId="0" borderId="39" xfId="0" applyFont="1" applyBorder="1" applyAlignment="1">
      <alignment horizontal="left" vertical="center" wrapText="1"/>
    </xf>
    <xf numFmtId="166" fontId="2" fillId="0" borderId="38" xfId="15" applyFont="1" applyFill="1" applyBorder="1" applyAlignment="1" applyProtection="1">
      <alignment horizontal="center" vertical="center" wrapText="1"/>
      <protection/>
    </xf>
    <xf numFmtId="167" fontId="2" fillId="0" borderId="38" xfId="17" applyFont="1" applyFill="1" applyBorder="1" applyAlignment="1" applyProtection="1">
      <alignment horizontal="center" vertical="center" wrapText="1"/>
      <protection/>
    </xf>
    <xf numFmtId="170" fontId="2" fillId="0" borderId="38" xfId="0" applyNumberFormat="1" applyFont="1" applyBorder="1" applyAlignment="1">
      <alignment horizontal="center" vertical="center" wrapText="1"/>
    </xf>
    <xf numFmtId="166" fontId="2" fillId="0" borderId="0" xfId="15" applyFont="1" applyFill="1" applyBorder="1" applyAlignment="1" applyProtection="1">
      <alignment horizontal="center" vertical="center" wrapText="1"/>
      <protection/>
    </xf>
    <xf numFmtId="170" fontId="8" fillId="0" borderId="30" xfId="0" applyNumberFormat="1" applyFont="1" applyBorder="1" applyAlignment="1">
      <alignment horizontal="center" vertical="center" wrapText="1"/>
    </xf>
    <xf numFmtId="167" fontId="5" fillId="0" borderId="30" xfId="17" applyFont="1" applyFill="1" applyBorder="1" applyAlignment="1" applyProtection="1">
      <alignment horizontal="center" vertical="center" wrapText="1"/>
      <protection/>
    </xf>
    <xf numFmtId="164" fontId="2" fillId="0" borderId="40" xfId="0" applyFont="1" applyBorder="1" applyAlignment="1">
      <alignment horizontal="center" vertical="center" wrapText="1"/>
    </xf>
    <xf numFmtId="164" fontId="2" fillId="0" borderId="10" xfId="0" applyFont="1" applyBorder="1" applyAlignment="1">
      <alignment horizontal="left" vertical="center" wrapText="1"/>
    </xf>
    <xf numFmtId="170" fontId="8" fillId="0" borderId="38" xfId="0" applyNumberFormat="1" applyFont="1" applyBorder="1" applyAlignment="1">
      <alignment horizontal="center" vertical="center" wrapText="1"/>
    </xf>
    <xf numFmtId="167" fontId="2" fillId="0" borderId="41" xfId="17" applyFont="1" applyFill="1" applyBorder="1" applyAlignment="1" applyProtection="1">
      <alignment horizontal="center" vertical="center" wrapText="1"/>
      <protection/>
    </xf>
    <xf numFmtId="171" fontId="2" fillId="0" borderId="42" xfId="0" applyNumberFormat="1" applyFont="1" applyBorder="1" applyAlignment="1">
      <alignment horizontal="center" vertical="center" wrapText="1"/>
    </xf>
    <xf numFmtId="171" fontId="2" fillId="0" borderId="43" xfId="0" applyNumberFormat="1" applyFont="1" applyBorder="1" applyAlignment="1">
      <alignment horizontal="center" vertical="center" wrapText="1"/>
    </xf>
    <xf numFmtId="171" fontId="2" fillId="0" borderId="12" xfId="0" applyNumberFormat="1" applyFont="1" applyBorder="1" applyAlignment="1">
      <alignment horizontal="center" vertical="center" wrapText="1"/>
    </xf>
    <xf numFmtId="164" fontId="2" fillId="0" borderId="43" xfId="0" applyFont="1" applyBorder="1" applyAlignment="1">
      <alignment vertical="center" wrapText="1"/>
    </xf>
    <xf numFmtId="168" fontId="2" fillId="0" borderId="12" xfId="15" applyNumberFormat="1" applyFont="1" applyFill="1" applyBorder="1" applyAlignment="1" applyProtection="1">
      <alignment horizontal="center" vertical="center" wrapText="1"/>
      <protection/>
    </xf>
    <xf numFmtId="167" fontId="2" fillId="0" borderId="12" xfId="17" applyFont="1" applyFill="1" applyBorder="1" applyAlignment="1" applyProtection="1">
      <alignment horizontal="center" vertical="center" wrapText="1"/>
      <protection/>
    </xf>
    <xf numFmtId="170" fontId="2" fillId="0" borderId="12" xfId="0" applyNumberFormat="1" applyFont="1" applyBorder="1" applyAlignment="1">
      <alignment horizontal="center" vertical="center" wrapText="1"/>
    </xf>
    <xf numFmtId="164" fontId="12" fillId="0" borderId="16" xfId="0" applyFont="1" applyBorder="1" applyAlignment="1">
      <alignment horizontal="right" vertical="center" wrapText="1"/>
    </xf>
    <xf numFmtId="167" fontId="8" fillId="0" borderId="17" xfId="17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Alignment="1">
      <alignment/>
    </xf>
    <xf numFmtId="164" fontId="12" fillId="0" borderId="0" xfId="0" applyFont="1" applyBorder="1" applyAlignment="1">
      <alignment horizontal="right" vertical="center" wrapText="1"/>
    </xf>
    <xf numFmtId="167" fontId="8" fillId="0" borderId="0" xfId="17" applyFont="1" applyFill="1" applyBorder="1" applyAlignment="1" applyProtection="1">
      <alignment horizontal="center" vertical="center" wrapText="1"/>
      <protection/>
    </xf>
    <xf numFmtId="164" fontId="2" fillId="0" borderId="30" xfId="20" applyFont="1" applyBorder="1" applyAlignment="1">
      <alignment horizontal="center"/>
      <protection/>
    </xf>
    <xf numFmtId="164" fontId="2" fillId="0" borderId="30" xfId="0" applyFont="1" applyBorder="1" applyAlignment="1">
      <alignment horizontal="center"/>
    </xf>
    <xf numFmtId="167" fontId="2" fillId="0" borderId="30" xfId="17" applyFont="1" applyFill="1" applyBorder="1" applyAlignment="1" applyProtection="1">
      <alignment horizontal="center"/>
      <protection/>
    </xf>
    <xf numFmtId="167" fontId="2" fillId="0" borderId="30" xfId="17" applyFont="1" applyFill="1" applyBorder="1" applyAlignment="1" applyProtection="1">
      <alignment/>
      <protection/>
    </xf>
    <xf numFmtId="166" fontId="2" fillId="0" borderId="30" xfId="22" applyFont="1" applyFill="1" applyBorder="1" applyAlignment="1" applyProtection="1">
      <alignment horizontal="center"/>
      <protection/>
    </xf>
    <xf numFmtId="168" fontId="2" fillId="0" borderId="30" xfId="22" applyNumberFormat="1" applyFont="1" applyFill="1" applyBorder="1" applyAlignment="1" applyProtection="1">
      <alignment horizontal="center" vertical="center" wrapText="1"/>
      <protection/>
    </xf>
    <xf numFmtId="167" fontId="5" fillId="0" borderId="31" xfId="17" applyFont="1" applyFill="1" applyBorder="1" applyAlignment="1" applyProtection="1">
      <alignment horizontal="center" vertical="center" wrapText="1"/>
      <protection/>
    </xf>
    <xf numFmtId="164" fontId="5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right" vertical="center" wrapText="1"/>
    </xf>
    <xf numFmtId="167" fontId="5" fillId="0" borderId="0" xfId="17" applyFont="1" applyFill="1" applyBorder="1" applyAlignment="1" applyProtection="1">
      <alignment horizontal="center" vertical="center" wrapText="1"/>
      <protection/>
    </xf>
    <xf numFmtId="164" fontId="12" fillId="0" borderId="0" xfId="0" applyFont="1" applyBorder="1" applyAlignment="1">
      <alignment horizontal="center" vertical="center" wrapText="1"/>
    </xf>
    <xf numFmtId="164" fontId="5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Alignment="1">
      <alignment horizontal="center" vertical="center" wrapText="1"/>
    </xf>
    <xf numFmtId="164" fontId="2" fillId="0" borderId="44" xfId="0" applyFont="1" applyBorder="1" applyAlignment="1">
      <alignment horizontal="center" vertical="center"/>
    </xf>
    <xf numFmtId="164" fontId="2" fillId="0" borderId="45" xfId="0" applyFont="1" applyBorder="1" applyAlignment="1">
      <alignment horizontal="center" vertical="center"/>
    </xf>
    <xf numFmtId="164" fontId="0" fillId="4" borderId="0" xfId="0" applyFont="1" applyFill="1" applyAlignment="1">
      <alignment/>
    </xf>
    <xf numFmtId="164" fontId="2" fillId="4" borderId="0" xfId="0" applyFont="1" applyFill="1" applyAlignment="1">
      <alignment horizontal="center" vertical="center"/>
    </xf>
    <xf numFmtId="164" fontId="2" fillId="4" borderId="0" xfId="0" applyFont="1" applyFill="1" applyAlignment="1">
      <alignment horizontal="left" vertical="center" wrapText="1"/>
    </xf>
    <xf numFmtId="167" fontId="8" fillId="0" borderId="0" xfId="17" applyFont="1" applyFill="1" applyBorder="1" applyAlignment="1" applyProtection="1">
      <alignment horizontal="center" vertical="center"/>
      <protection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left" wrapText="1"/>
    </xf>
    <xf numFmtId="164" fontId="0" fillId="0" borderId="0" xfId="0" applyAlignment="1">
      <alignment/>
    </xf>
    <xf numFmtId="164" fontId="13" fillId="0" borderId="1" xfId="0" applyFont="1" applyBorder="1" applyAlignment="1">
      <alignment horizontal="center" vertical="center" wrapText="1"/>
    </xf>
    <xf numFmtId="164" fontId="13" fillId="0" borderId="0" xfId="0" applyFont="1" applyAlignment="1">
      <alignment vertical="center"/>
    </xf>
    <xf numFmtId="164" fontId="0" fillId="0" borderId="1" xfId="0" applyFill="1" applyBorder="1" applyAlignment="1">
      <alignment horizontal="center"/>
    </xf>
    <xf numFmtId="164" fontId="13" fillId="0" borderId="1" xfId="0" applyFont="1" applyBorder="1" applyAlignment="1">
      <alignment vertical="center"/>
    </xf>
    <xf numFmtId="164" fontId="4" fillId="2" borderId="3" xfId="0" applyFont="1" applyFill="1" applyBorder="1" applyAlignment="1">
      <alignment vertical="center"/>
    </xf>
    <xf numFmtId="164" fontId="4" fillId="0" borderId="2" xfId="0" applyFont="1" applyFill="1" applyBorder="1" applyAlignment="1">
      <alignment horizontal="center" vertical="center"/>
    </xf>
    <xf numFmtId="164" fontId="5" fillId="0" borderId="5" xfId="0" applyFont="1" applyFill="1" applyBorder="1" applyAlignment="1">
      <alignment horizontal="center" vertical="top"/>
    </xf>
    <xf numFmtId="164" fontId="5" fillId="0" borderId="5" xfId="0" applyFont="1" applyFill="1" applyBorder="1" applyAlignment="1">
      <alignment horizontal="left" vertical="top" wrapText="1"/>
    </xf>
    <xf numFmtId="164" fontId="5" fillId="0" borderId="5" xfId="0" applyFont="1" applyFill="1" applyBorder="1" applyAlignment="1">
      <alignment horizontal="center" vertical="center" wrapText="1"/>
    </xf>
    <xf numFmtId="164" fontId="4" fillId="0" borderId="5" xfId="0" applyFont="1" applyFill="1" applyBorder="1" applyAlignment="1">
      <alignment horizontal="left" vertical="top"/>
    </xf>
    <xf numFmtId="164" fontId="15" fillId="0" borderId="8" xfId="0" applyFont="1" applyFill="1" applyBorder="1" applyAlignment="1">
      <alignment horizontal="left" vertical="top"/>
    </xf>
    <xf numFmtId="164" fontId="5" fillId="0" borderId="9" xfId="0" applyFont="1" applyFill="1" applyBorder="1" applyAlignment="1">
      <alignment horizontal="center" vertical="top"/>
    </xf>
    <xf numFmtId="164" fontId="5" fillId="0" borderId="9" xfId="0" applyFont="1" applyFill="1" applyBorder="1" applyAlignment="1">
      <alignment horizontal="left" vertical="top" wrapText="1"/>
    </xf>
    <xf numFmtId="164" fontId="5" fillId="0" borderId="9" xfId="0" applyFont="1" applyFill="1" applyBorder="1" applyAlignment="1">
      <alignment horizontal="center" vertical="center" wrapText="1"/>
    </xf>
    <xf numFmtId="164" fontId="4" fillId="0" borderId="9" xfId="0" applyFont="1" applyFill="1" applyBorder="1" applyAlignment="1">
      <alignment horizontal="left" vertical="top"/>
    </xf>
    <xf numFmtId="164" fontId="4" fillId="0" borderId="9" xfId="0" applyFont="1" applyFill="1" applyBorder="1" applyAlignment="1">
      <alignment horizontal="left" vertical="center"/>
    </xf>
    <xf numFmtId="164" fontId="4" fillId="0" borderId="14" xfId="0" applyFont="1" applyFill="1" applyBorder="1" applyAlignment="1">
      <alignment horizontal="left" vertical="center" wrapText="1"/>
    </xf>
    <xf numFmtId="164" fontId="5" fillId="0" borderId="15" xfId="0" applyFont="1" applyFill="1" applyBorder="1" applyAlignment="1">
      <alignment horizontal="center" vertical="center" wrapText="1"/>
    </xf>
    <xf numFmtId="164" fontId="4" fillId="0" borderId="15" xfId="0" applyFont="1" applyFill="1" applyBorder="1" applyAlignment="1">
      <alignment horizontal="left" vertical="center" wrapText="1"/>
    </xf>
    <xf numFmtId="164" fontId="4" fillId="0" borderId="20" xfId="0" applyFont="1" applyFill="1" applyBorder="1" applyAlignment="1">
      <alignment horizontal="left" vertical="center" wrapText="1"/>
    </xf>
    <xf numFmtId="164" fontId="5" fillId="0" borderId="2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/>
    </xf>
    <xf numFmtId="164" fontId="5" fillId="0" borderId="0" xfId="0" applyFont="1" applyFill="1" applyBorder="1" applyAlignment="1">
      <alignment vertical="center" wrapText="1"/>
    </xf>
    <xf numFmtId="164" fontId="16" fillId="2" borderId="46" xfId="0" applyFont="1" applyFill="1" applyBorder="1" applyAlignment="1">
      <alignment horizontal="center" vertical="center" wrapText="1"/>
    </xf>
    <xf numFmtId="164" fontId="16" fillId="2" borderId="46" xfId="0" applyFont="1" applyFill="1" applyBorder="1" applyAlignment="1">
      <alignment horizontal="left" vertical="center" wrapText="1"/>
    </xf>
    <xf numFmtId="164" fontId="16" fillId="2" borderId="30" xfId="0" applyFont="1" applyFill="1" applyBorder="1" applyAlignment="1">
      <alignment horizontal="center" vertical="center" wrapText="1"/>
    </xf>
    <xf numFmtId="164" fontId="10" fillId="0" borderId="30" xfId="0" applyFont="1" applyFill="1" applyBorder="1" applyAlignment="1">
      <alignment horizontal="center" vertical="center" wrapText="1"/>
    </xf>
    <xf numFmtId="164" fontId="10" fillId="0" borderId="30" xfId="0" applyFont="1" applyFill="1" applyBorder="1" applyAlignment="1">
      <alignment horizontal="left" vertical="center" wrapText="1"/>
    </xf>
    <xf numFmtId="169" fontId="2" fillId="0" borderId="30" xfId="19" applyNumberFormat="1" applyFont="1" applyFill="1" applyBorder="1" applyAlignment="1" applyProtection="1">
      <alignment horizontal="center" vertical="center" wrapText="1"/>
      <protection/>
    </xf>
    <xf numFmtId="169" fontId="2" fillId="4" borderId="30" xfId="19" applyNumberFormat="1" applyFont="1" applyFill="1" applyBorder="1" applyAlignment="1" applyProtection="1">
      <alignment horizontal="center" vertical="center" wrapText="1"/>
      <protection/>
    </xf>
    <xf numFmtId="169" fontId="2" fillId="5" borderId="30" xfId="19" applyNumberFormat="1" applyFont="1" applyFill="1" applyBorder="1" applyAlignment="1" applyProtection="1">
      <alignment horizontal="center" vertical="center" wrapText="1"/>
      <protection/>
    </xf>
    <xf numFmtId="164" fontId="10" fillId="6" borderId="30" xfId="0" applyFont="1" applyFill="1" applyBorder="1" applyAlignment="1">
      <alignment horizontal="right" vertical="center" wrapText="1"/>
    </xf>
    <xf numFmtId="167" fontId="16" fillId="6" borderId="30" xfId="17" applyFont="1" applyFill="1" applyBorder="1" applyAlignment="1" applyProtection="1">
      <alignment horizontal="center" vertical="center" wrapText="1"/>
      <protection/>
    </xf>
    <xf numFmtId="167" fontId="17" fillId="6" borderId="30" xfId="17" applyFont="1" applyFill="1" applyBorder="1" applyAlignment="1" applyProtection="1">
      <alignment horizontal="center" vertical="center" wrapText="1"/>
      <protection/>
    </xf>
    <xf numFmtId="164" fontId="10" fillId="0" borderId="0" xfId="0" applyFont="1" applyFill="1" applyBorder="1" applyAlignment="1">
      <alignment horizontal="center" vertical="center" wrapText="1"/>
    </xf>
    <xf numFmtId="164" fontId="2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center" vertical="center" wrapText="1"/>
    </xf>
    <xf numFmtId="168" fontId="10" fillId="0" borderId="0" xfId="15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>
      <alignment vertical="center"/>
    </xf>
    <xf numFmtId="164" fontId="0" fillId="0" borderId="0" xfId="0" applyBorder="1" applyAlignment="1">
      <alignment vertical="center"/>
    </xf>
    <xf numFmtId="164" fontId="0" fillId="0" borderId="44" xfId="0" applyBorder="1" applyAlignment="1">
      <alignment vertical="center"/>
    </xf>
    <xf numFmtId="164" fontId="2" fillId="0" borderId="0" xfId="0" applyFont="1" applyBorder="1" applyAlignment="1">
      <alignment vertical="center"/>
    </xf>
    <xf numFmtId="164" fontId="2" fillId="0" borderId="45" xfId="0" applyFont="1" applyBorder="1" applyAlignment="1">
      <alignment vertical="center"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Border="1" applyAlignment="1">
      <alignment/>
    </xf>
    <xf numFmtId="164" fontId="0" fillId="4" borderId="0" xfId="0" applyFill="1" applyAlignment="1">
      <alignment/>
    </xf>
    <xf numFmtId="164" fontId="2" fillId="4" borderId="0" xfId="0" applyFont="1" applyFill="1" applyAlignment="1">
      <alignment horizontal="center"/>
    </xf>
    <xf numFmtId="164" fontId="2" fillId="4" borderId="0" xfId="0" applyFont="1" applyFill="1" applyAlignment="1">
      <alignment horizontal="left" wrapText="1"/>
    </xf>
    <xf numFmtId="164" fontId="2" fillId="4" borderId="0" xfId="0" applyFont="1" applyFill="1" applyAlignment="1">
      <alignment horizontal="center" vertical="center" wrapText="1"/>
    </xf>
    <xf numFmtId="167" fontId="2" fillId="0" borderId="0" xfId="17" applyFont="1" applyFill="1" applyBorder="1" applyAlignment="1" applyProtection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 2" xfId="20"/>
    <cellStyle name="Porcentagem 2" xfId="21"/>
    <cellStyle name="Vírgula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0</xdr:row>
      <xdr:rowOff>38100</xdr:rowOff>
    </xdr:from>
    <xdr:to>
      <xdr:col>1</xdr:col>
      <xdr:colOff>876300</xdr:colOff>
      <xdr:row>1</xdr:row>
      <xdr:rowOff>561975</xdr:rowOff>
    </xdr:to>
    <xdr:pic>
      <xdr:nvPicPr>
        <xdr:cNvPr id="1" name="Image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9575" y="38100"/>
          <a:ext cx="1076325" cy="1009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3"/>
  <sheetViews>
    <sheetView showGridLines="0" showZeros="0" tabSelected="1" view="pageBreakPreview" zoomScale="85" zoomScaleNormal="70" zoomScaleSheetLayoutView="85" workbookViewId="0" topLeftCell="C101">
      <selection activeCell="K158" sqref="K158"/>
    </sheetView>
  </sheetViews>
  <sheetFormatPr defaultColWidth="8.00390625" defaultRowHeight="12.75"/>
  <cols>
    <col min="1" max="1" width="9.140625" style="1" customWidth="1"/>
    <col min="2" max="3" width="10.57421875" style="2" customWidth="1"/>
    <col min="4" max="4" width="60.28125" style="3" customWidth="1"/>
    <col min="5" max="5" width="12.7109375" style="2" customWidth="1"/>
    <col min="6" max="6" width="14.00390625" style="4" customWidth="1"/>
    <col min="7" max="7" width="14.28125" style="2" customWidth="1"/>
    <col min="8" max="8" width="17.7109375" style="4" customWidth="1"/>
    <col min="9" max="9" width="13.140625" style="5" hidden="1" customWidth="1"/>
    <col min="10" max="10" width="14.57421875" style="0" customWidth="1"/>
    <col min="11" max="11" width="54.28125" style="0" customWidth="1"/>
    <col min="12" max="13" width="9.00390625" style="0" customWidth="1"/>
    <col min="14" max="14" width="10.57421875" style="0" customWidth="1"/>
    <col min="15" max="16384" width="9.00390625" style="0" customWidth="1"/>
  </cols>
  <sheetData>
    <row r="1" spans="1:8" ht="75.75" customHeight="1">
      <c r="A1" s="6"/>
      <c r="D1" s="7"/>
      <c r="E1" s="7"/>
      <c r="F1" s="7"/>
      <c r="G1" s="7"/>
      <c r="H1" s="7"/>
    </row>
    <row r="2" spans="1:8" ht="14.25" customHeight="1">
      <c r="A2" s="8"/>
      <c r="B2" s="9"/>
      <c r="C2" s="9"/>
      <c r="D2" s="10"/>
      <c r="E2" s="9"/>
      <c r="F2" s="11"/>
      <c r="G2" s="9"/>
      <c r="H2" s="9"/>
    </row>
    <row r="3" spans="1:8" ht="24.75" customHeight="1">
      <c r="A3" s="12" t="s">
        <v>0</v>
      </c>
      <c r="B3" s="12"/>
      <c r="C3" s="12"/>
      <c r="D3" s="12"/>
      <c r="E3" s="12"/>
      <c r="F3" s="12"/>
      <c r="G3" s="12"/>
      <c r="H3" s="12"/>
    </row>
    <row r="4" spans="1:8" ht="3.75" customHeight="1">
      <c r="A4" s="13"/>
      <c r="B4" s="14"/>
      <c r="C4" s="14"/>
      <c r="D4" s="15"/>
      <c r="E4" s="14"/>
      <c r="F4" s="16"/>
      <c r="G4" s="14"/>
      <c r="H4" s="16"/>
    </row>
    <row r="5" spans="1:8" ht="19.5" customHeight="1">
      <c r="A5" s="17" t="s">
        <v>1</v>
      </c>
      <c r="B5" s="18"/>
      <c r="C5" s="18"/>
      <c r="D5" s="19"/>
      <c r="E5" s="18"/>
      <c r="F5" s="20"/>
      <c r="G5" s="21" t="s">
        <v>2</v>
      </c>
      <c r="H5" s="18"/>
    </row>
    <row r="6" spans="1:8" ht="19.5" customHeight="1">
      <c r="A6" s="22" t="s">
        <v>3</v>
      </c>
      <c r="B6" s="23"/>
      <c r="C6" s="23"/>
      <c r="D6" s="24"/>
      <c r="E6" s="23"/>
      <c r="F6" s="25"/>
      <c r="G6" s="26" t="s">
        <v>4</v>
      </c>
      <c r="H6" s="23"/>
    </row>
    <row r="7" spans="1:8" ht="19.5" customHeight="1">
      <c r="A7" s="27" t="s">
        <v>5</v>
      </c>
      <c r="B7" s="27"/>
      <c r="C7" s="27"/>
      <c r="D7" s="27"/>
      <c r="E7" s="28" t="s">
        <v>6</v>
      </c>
      <c r="F7" s="28"/>
      <c r="G7" s="28"/>
      <c r="H7" s="28"/>
    </row>
    <row r="8" spans="1:8" ht="19.5" customHeight="1">
      <c r="A8" s="29" t="s">
        <v>7</v>
      </c>
      <c r="B8" s="23"/>
      <c r="C8" s="23"/>
      <c r="D8" s="24"/>
      <c r="E8" s="30" t="s">
        <v>8</v>
      </c>
      <c r="F8" s="31" t="s">
        <v>9</v>
      </c>
      <c r="G8" s="30" t="s">
        <v>10</v>
      </c>
      <c r="H8" s="32" t="s">
        <v>11</v>
      </c>
    </row>
    <row r="9" spans="1:8" ht="19.5" customHeight="1">
      <c r="A9" s="33" t="s">
        <v>12</v>
      </c>
      <c r="B9" s="34"/>
      <c r="C9" s="34"/>
      <c r="D9" s="35"/>
      <c r="E9" s="30"/>
      <c r="F9" s="31"/>
      <c r="G9" s="30"/>
      <c r="H9" s="32"/>
    </row>
    <row r="10" spans="1:8" ht="24.75" customHeight="1">
      <c r="A10" s="36"/>
      <c r="B10" s="37"/>
      <c r="C10" s="37"/>
      <c r="D10" s="38"/>
      <c r="E10" s="37"/>
      <c r="F10" s="39"/>
      <c r="G10" s="40"/>
      <c r="H10" s="39"/>
    </row>
    <row r="11" spans="1:8" ht="19.5" customHeight="1" hidden="1">
      <c r="A11" s="41" t="s">
        <v>13</v>
      </c>
      <c r="B11" s="41"/>
      <c r="C11" s="41"/>
      <c r="D11" s="42" t="s">
        <v>14</v>
      </c>
      <c r="E11" s="43" t="s">
        <v>15</v>
      </c>
      <c r="F11" s="43"/>
      <c r="G11" s="44" t="s">
        <v>16</v>
      </c>
      <c r="H11" s="45"/>
    </row>
    <row r="12" spans="1:8" ht="16.5" customHeight="1" hidden="1">
      <c r="A12" s="46" t="s">
        <v>17</v>
      </c>
      <c r="B12" s="46"/>
      <c r="C12" s="46"/>
      <c r="D12" s="47" t="s">
        <v>18</v>
      </c>
      <c r="E12" s="48">
        <v>0.045</v>
      </c>
      <c r="F12" s="48"/>
      <c r="G12" s="49"/>
      <c r="H12" s="50"/>
    </row>
    <row r="13" spans="1:8" ht="16.5" customHeight="1" hidden="1">
      <c r="A13" s="51" t="s">
        <v>19</v>
      </c>
      <c r="B13" s="51"/>
      <c r="C13" s="51"/>
      <c r="D13" s="52" t="s">
        <v>20</v>
      </c>
      <c r="E13" s="53">
        <v>0.08</v>
      </c>
      <c r="F13" s="53"/>
      <c r="G13" s="54"/>
      <c r="H13" s="55"/>
    </row>
    <row r="14" spans="1:8" ht="16.5" customHeight="1" hidden="1">
      <c r="A14" s="51" t="s">
        <v>21</v>
      </c>
      <c r="B14" s="51"/>
      <c r="C14" s="51"/>
      <c r="D14" s="52" t="s">
        <v>22</v>
      </c>
      <c r="E14" s="53">
        <v>0.011</v>
      </c>
      <c r="F14" s="53"/>
      <c r="G14" s="54"/>
      <c r="H14" s="55"/>
    </row>
    <row r="15" spans="1:8" ht="16.5" customHeight="1" hidden="1">
      <c r="A15" s="51" t="s">
        <v>23</v>
      </c>
      <c r="B15" s="51"/>
      <c r="C15" s="51"/>
      <c r="D15" s="52" t="s">
        <v>24</v>
      </c>
      <c r="E15" s="53">
        <v>0.003</v>
      </c>
      <c r="F15" s="53"/>
      <c r="G15" s="56" t="s">
        <v>25</v>
      </c>
      <c r="H15" s="56"/>
    </row>
    <row r="16" spans="1:8" ht="16.5" customHeight="1" hidden="1">
      <c r="A16" s="51" t="s">
        <v>26</v>
      </c>
      <c r="B16" s="51"/>
      <c r="C16" s="51"/>
      <c r="D16" s="52"/>
      <c r="E16" s="53">
        <v>0.003</v>
      </c>
      <c r="F16" s="53"/>
      <c r="G16" s="56"/>
      <c r="H16" s="56"/>
    </row>
    <row r="17" spans="1:8" ht="16.5" customHeight="1" hidden="1">
      <c r="A17" s="51" t="s">
        <v>27</v>
      </c>
      <c r="B17" s="51"/>
      <c r="C17" s="51"/>
      <c r="D17" s="52" t="s">
        <v>28</v>
      </c>
      <c r="E17" s="53">
        <v>0.008</v>
      </c>
      <c r="F17" s="53"/>
      <c r="G17" s="56"/>
      <c r="H17" s="56"/>
    </row>
    <row r="18" spans="1:8" ht="16.5" customHeight="1" hidden="1">
      <c r="A18" s="57" t="s">
        <v>29</v>
      </c>
      <c r="B18" s="57"/>
      <c r="C18" s="57"/>
      <c r="D18" s="58" t="s">
        <v>30</v>
      </c>
      <c r="E18" s="59">
        <v>0.06</v>
      </c>
      <c r="F18" s="59"/>
      <c r="G18" s="56"/>
      <c r="H18" s="56"/>
    </row>
    <row r="19" spans="1:8" ht="7.5" customHeight="1">
      <c r="A19" s="60"/>
      <c r="B19" s="61"/>
      <c r="C19" s="61"/>
      <c r="D19" s="61"/>
      <c r="E19" s="61"/>
      <c r="F19" s="62"/>
      <c r="G19" s="61"/>
      <c r="H19" s="61"/>
    </row>
    <row r="20" spans="1:8" ht="22.5">
      <c r="A20" s="63" t="s">
        <v>31</v>
      </c>
      <c r="B20" s="64" t="s">
        <v>32</v>
      </c>
      <c r="C20" s="65" t="s">
        <v>33</v>
      </c>
      <c r="D20" s="66" t="s">
        <v>34</v>
      </c>
      <c r="E20" s="65" t="s">
        <v>35</v>
      </c>
      <c r="F20" s="67" t="s">
        <v>36</v>
      </c>
      <c r="G20" s="68" t="s">
        <v>37</v>
      </c>
      <c r="H20" s="69" t="s">
        <v>38</v>
      </c>
    </row>
    <row r="21" spans="1:8" ht="18" customHeight="1">
      <c r="A21" s="70">
        <v>1</v>
      </c>
      <c r="B21" s="71"/>
      <c r="C21" s="71"/>
      <c r="D21" s="71" t="s">
        <v>39</v>
      </c>
      <c r="E21" s="71"/>
      <c r="F21" s="72"/>
      <c r="G21" s="71"/>
      <c r="H21" s="73"/>
    </row>
    <row r="22" spans="1:9" s="75" customFormat="1" ht="18" customHeight="1">
      <c r="A22" s="70" t="s">
        <v>40</v>
      </c>
      <c r="B22" s="71"/>
      <c r="C22" s="71"/>
      <c r="D22" s="71" t="s">
        <v>41</v>
      </c>
      <c r="E22" s="71"/>
      <c r="F22" s="72"/>
      <c r="G22" s="71"/>
      <c r="H22" s="73"/>
      <c r="I22" s="74"/>
    </row>
    <row r="23" spans="1:9" ht="18" customHeight="1">
      <c r="A23" s="76" t="s">
        <v>42</v>
      </c>
      <c r="B23" s="76" t="s">
        <v>43</v>
      </c>
      <c r="C23" s="77" t="s">
        <v>44</v>
      </c>
      <c r="D23" s="78" t="s">
        <v>45</v>
      </c>
      <c r="E23" s="79" t="s">
        <v>46</v>
      </c>
      <c r="F23" s="80"/>
      <c r="G23" s="81">
        <f>ROUND(6,2)</f>
        <v>6</v>
      </c>
      <c r="H23" s="82">
        <f aca="true" t="shared" si="0" ref="H23:H29">ROUND(F23*G23,2)</f>
        <v>0</v>
      </c>
      <c r="I23" s="5">
        <f aca="true" t="shared" si="1" ref="I23:I69">ROUND(H23*$J$9,2)</f>
        <v>0</v>
      </c>
    </row>
    <row r="24" spans="1:9" ht="20.25">
      <c r="A24" s="76" t="s">
        <v>47</v>
      </c>
      <c r="B24" s="76" t="s">
        <v>43</v>
      </c>
      <c r="C24" s="83" t="s">
        <v>48</v>
      </c>
      <c r="D24" s="84" t="s">
        <v>49</v>
      </c>
      <c r="E24" s="77" t="s">
        <v>46</v>
      </c>
      <c r="F24" s="85"/>
      <c r="G24" s="81">
        <f>ROUND(317.84*2*3,2)</f>
        <v>1907.04</v>
      </c>
      <c r="H24" s="82">
        <f t="shared" si="0"/>
        <v>0</v>
      </c>
      <c r="I24" s="5">
        <f t="shared" si="1"/>
        <v>0</v>
      </c>
    </row>
    <row r="25" spans="1:9" ht="18" customHeight="1">
      <c r="A25" s="76" t="s">
        <v>50</v>
      </c>
      <c r="B25" s="76" t="s">
        <v>43</v>
      </c>
      <c r="C25" s="83" t="s">
        <v>51</v>
      </c>
      <c r="D25" s="84" t="s">
        <v>52</v>
      </c>
      <c r="E25" s="83" t="s">
        <v>53</v>
      </c>
      <c r="F25" s="85"/>
      <c r="G25" s="81">
        <f aca="true" t="shared" si="2" ref="G25:G26">ROUND(2156.37,2)</f>
        <v>2156.37</v>
      </c>
      <c r="H25" s="82">
        <f t="shared" si="0"/>
        <v>0</v>
      </c>
      <c r="I25" s="5">
        <f t="shared" si="1"/>
        <v>0</v>
      </c>
    </row>
    <row r="26" spans="1:9" ht="20.25">
      <c r="A26" s="76" t="s">
        <v>54</v>
      </c>
      <c r="B26" s="76" t="s">
        <v>43</v>
      </c>
      <c r="C26" s="86" t="s">
        <v>55</v>
      </c>
      <c r="D26" s="87" t="s">
        <v>56</v>
      </c>
      <c r="E26" s="86" t="s">
        <v>53</v>
      </c>
      <c r="F26" s="88"/>
      <c r="G26" s="81">
        <f t="shared" si="2"/>
        <v>2156.37</v>
      </c>
      <c r="H26" s="82">
        <f t="shared" si="0"/>
        <v>0</v>
      </c>
      <c r="I26" s="5">
        <f t="shared" si="1"/>
        <v>0</v>
      </c>
    </row>
    <row r="27" spans="1:9" ht="20.25">
      <c r="A27" s="76" t="s">
        <v>57</v>
      </c>
      <c r="B27" s="76" t="s">
        <v>43</v>
      </c>
      <c r="C27" s="86" t="s">
        <v>58</v>
      </c>
      <c r="D27" s="87" t="s">
        <v>59</v>
      </c>
      <c r="E27" s="86" t="s">
        <v>60</v>
      </c>
      <c r="F27" s="88"/>
      <c r="G27" s="81">
        <f>ROUND(160.57*1.2*0.1,2)</f>
        <v>19.27</v>
      </c>
      <c r="H27" s="82">
        <f t="shared" si="0"/>
        <v>0</v>
      </c>
      <c r="I27" s="5">
        <f t="shared" si="1"/>
        <v>0</v>
      </c>
    </row>
    <row r="28" spans="1:9" ht="39" customHeight="1" hidden="1">
      <c r="A28" s="76" t="s">
        <v>61</v>
      </c>
      <c r="B28" s="76"/>
      <c r="C28" s="86"/>
      <c r="D28" s="87"/>
      <c r="E28" s="86"/>
      <c r="F28" s="88"/>
      <c r="G28" s="81"/>
      <c r="H28" s="82">
        <f t="shared" si="0"/>
        <v>0</v>
      </c>
      <c r="I28" s="5">
        <f t="shared" si="1"/>
        <v>0</v>
      </c>
    </row>
    <row r="29" spans="1:9" ht="18" customHeight="1" hidden="1">
      <c r="A29" s="76" t="s">
        <v>62</v>
      </c>
      <c r="B29" s="76"/>
      <c r="C29" s="89"/>
      <c r="D29" s="90"/>
      <c r="E29" s="79"/>
      <c r="F29" s="80"/>
      <c r="G29" s="81"/>
      <c r="H29" s="82">
        <f t="shared" si="0"/>
        <v>0</v>
      </c>
      <c r="I29" s="5">
        <f t="shared" si="1"/>
        <v>0</v>
      </c>
    </row>
    <row r="30" spans="1:10" ht="18" customHeight="1">
      <c r="A30" s="91"/>
      <c r="B30" s="91"/>
      <c r="C30" s="91"/>
      <c r="D30" s="92"/>
      <c r="E30" s="93"/>
      <c r="F30" s="94"/>
      <c r="G30" s="95" t="s">
        <v>63</v>
      </c>
      <c r="H30" s="96">
        <f>SUM(H23:H27)</f>
        <v>0</v>
      </c>
      <c r="I30" s="5">
        <f t="shared" si="1"/>
        <v>0</v>
      </c>
      <c r="J30" s="97"/>
    </row>
    <row r="31" spans="1:9" ht="20.25" customHeight="1">
      <c r="A31" s="91"/>
      <c r="B31" s="91"/>
      <c r="C31" s="98"/>
      <c r="D31" s="99"/>
      <c r="E31" s="93"/>
      <c r="F31" s="94"/>
      <c r="G31" s="100"/>
      <c r="H31" s="94"/>
      <c r="I31" s="5">
        <f t="shared" si="1"/>
        <v>0</v>
      </c>
    </row>
    <row r="32" spans="1:9" ht="18" customHeight="1">
      <c r="A32" s="101" t="s">
        <v>64</v>
      </c>
      <c r="B32" s="73"/>
      <c r="C32" s="73"/>
      <c r="D32" s="73" t="s">
        <v>65</v>
      </c>
      <c r="E32" s="73"/>
      <c r="F32" s="102"/>
      <c r="G32" s="73"/>
      <c r="H32" s="73"/>
      <c r="I32" s="5">
        <f t="shared" si="1"/>
        <v>0</v>
      </c>
    </row>
    <row r="33" spans="1:9" ht="14.25">
      <c r="A33" s="76" t="s">
        <v>66</v>
      </c>
      <c r="B33" s="76" t="s">
        <v>43</v>
      </c>
      <c r="C33" s="83" t="s">
        <v>67</v>
      </c>
      <c r="D33" s="84" t="s">
        <v>68</v>
      </c>
      <c r="E33" s="83" t="s">
        <v>60</v>
      </c>
      <c r="F33" s="85"/>
      <c r="G33" s="81">
        <f>ROUND(((G40*0.8)+(G41*1.2)*1.4)+(G39*0.8*0.8),2)</f>
        <v>415.59</v>
      </c>
      <c r="H33" s="82">
        <f aca="true" t="shared" si="3" ref="H33:H48">ROUND(F33*G33,2)</f>
        <v>0</v>
      </c>
      <c r="I33" s="5">
        <f t="shared" si="1"/>
        <v>0</v>
      </c>
    </row>
    <row r="34" spans="1:9" ht="20.25">
      <c r="A34" s="76" t="s">
        <v>69</v>
      </c>
      <c r="B34" s="76" t="s">
        <v>43</v>
      </c>
      <c r="C34" s="83" t="s">
        <v>70</v>
      </c>
      <c r="D34" s="84" t="s">
        <v>71</v>
      </c>
      <c r="E34" s="77" t="s">
        <v>60</v>
      </c>
      <c r="F34" s="85"/>
      <c r="G34" s="81">
        <f>ROUND((G39*0.8*0.8)+(0.2*0.2*3.1415*G40)+(0.3*0.3*3.1415*G41),2)</f>
        <v>209.62</v>
      </c>
      <c r="H34" s="82">
        <f t="shared" si="3"/>
        <v>0</v>
      </c>
      <c r="I34" s="5">
        <f t="shared" si="1"/>
        <v>0</v>
      </c>
    </row>
    <row r="35" spans="1:9" ht="28.5" customHeight="1">
      <c r="A35" s="76" t="s">
        <v>72</v>
      </c>
      <c r="B35" s="76" t="s">
        <v>43</v>
      </c>
      <c r="C35" s="83" t="s">
        <v>73</v>
      </c>
      <c r="D35" s="84" t="s">
        <v>74</v>
      </c>
      <c r="E35" s="77" t="s">
        <v>60</v>
      </c>
      <c r="F35" s="85"/>
      <c r="G35" s="81">
        <f>ROUND(G34,2)</f>
        <v>209.62</v>
      </c>
      <c r="H35" s="82">
        <f t="shared" si="3"/>
        <v>0</v>
      </c>
      <c r="I35" s="5">
        <f t="shared" si="1"/>
        <v>0</v>
      </c>
    </row>
    <row r="36" spans="1:9" ht="14.25">
      <c r="A36" s="76" t="s">
        <v>75</v>
      </c>
      <c r="B36" s="76" t="s">
        <v>43</v>
      </c>
      <c r="C36" s="83" t="s">
        <v>76</v>
      </c>
      <c r="D36" s="84" t="s">
        <v>77</v>
      </c>
      <c r="E36" s="83" t="s">
        <v>60</v>
      </c>
      <c r="F36" s="85"/>
      <c r="G36" s="103">
        <f>ROUND(G34,2)</f>
        <v>209.62</v>
      </c>
      <c r="H36" s="82">
        <f t="shared" si="3"/>
        <v>0</v>
      </c>
      <c r="I36" s="5">
        <f t="shared" si="1"/>
        <v>0</v>
      </c>
    </row>
    <row r="37" spans="1:11" ht="20.25">
      <c r="A37" s="76" t="s">
        <v>78</v>
      </c>
      <c r="B37" s="76" t="s">
        <v>43</v>
      </c>
      <c r="C37" s="83" t="s">
        <v>79</v>
      </c>
      <c r="D37" s="84" t="s">
        <v>80</v>
      </c>
      <c r="E37" s="83" t="s">
        <v>53</v>
      </c>
      <c r="F37" s="85"/>
      <c r="G37" s="81">
        <f>ROUND(0.8*4*G39,2)</f>
        <v>841.34</v>
      </c>
      <c r="H37" s="82">
        <f t="shared" si="3"/>
        <v>0</v>
      </c>
      <c r="I37" s="5">
        <f t="shared" si="1"/>
        <v>0</v>
      </c>
      <c r="K37" s="104"/>
    </row>
    <row r="38" spans="1:9" ht="18" customHeight="1">
      <c r="A38" s="76" t="s">
        <v>81</v>
      </c>
      <c r="B38" s="76" t="s">
        <v>43</v>
      </c>
      <c r="C38" s="83" t="s">
        <v>82</v>
      </c>
      <c r="D38" s="84" t="s">
        <v>83</v>
      </c>
      <c r="E38" s="83" t="s">
        <v>60</v>
      </c>
      <c r="F38" s="85"/>
      <c r="G38" s="81">
        <f>ROUND(0.8*0.8*G39,2)</f>
        <v>168.27</v>
      </c>
      <c r="H38" s="82">
        <f t="shared" si="3"/>
        <v>0</v>
      </c>
      <c r="I38" s="5">
        <f t="shared" si="1"/>
        <v>0</v>
      </c>
    </row>
    <row r="39" spans="1:9" ht="14.25">
      <c r="A39" s="76" t="s">
        <v>84</v>
      </c>
      <c r="B39" s="76" t="s">
        <v>43</v>
      </c>
      <c r="C39" s="83" t="s">
        <v>85</v>
      </c>
      <c r="D39" s="84" t="s">
        <v>86</v>
      </c>
      <c r="E39" s="83" t="s">
        <v>87</v>
      </c>
      <c r="F39" s="85"/>
      <c r="G39" s="81">
        <f>ROUND(262.92,2)</f>
        <v>262.92</v>
      </c>
      <c r="H39" s="82">
        <f t="shared" si="3"/>
        <v>0</v>
      </c>
      <c r="I39" s="5">
        <f t="shared" si="1"/>
        <v>0</v>
      </c>
    </row>
    <row r="40" spans="1:9" ht="18" customHeight="1">
      <c r="A40" s="76" t="s">
        <v>88</v>
      </c>
      <c r="B40" s="76" t="s">
        <v>43</v>
      </c>
      <c r="C40" s="83" t="s">
        <v>89</v>
      </c>
      <c r="D40" s="84" t="s">
        <v>90</v>
      </c>
      <c r="E40" s="83" t="s">
        <v>87</v>
      </c>
      <c r="F40" s="85"/>
      <c r="G40" s="81">
        <f>ROUND(30.38,2)</f>
        <v>30.38</v>
      </c>
      <c r="H40" s="82">
        <f t="shared" si="3"/>
        <v>0</v>
      </c>
      <c r="I40" s="5">
        <f t="shared" si="1"/>
        <v>0</v>
      </c>
    </row>
    <row r="41" spans="1:9" ht="18" customHeight="1">
      <c r="A41" s="76" t="s">
        <v>91</v>
      </c>
      <c r="B41" s="76" t="s">
        <v>43</v>
      </c>
      <c r="C41" s="83" t="s">
        <v>92</v>
      </c>
      <c r="D41" s="84" t="s">
        <v>93</v>
      </c>
      <c r="E41" s="83" t="s">
        <v>87</v>
      </c>
      <c r="F41" s="85"/>
      <c r="G41" s="81">
        <f>ROUND(132.75,2)</f>
        <v>132.75</v>
      </c>
      <c r="H41" s="82">
        <f t="shared" si="3"/>
        <v>0</v>
      </c>
      <c r="I41" s="5">
        <f t="shared" si="1"/>
        <v>0</v>
      </c>
    </row>
    <row r="42" spans="1:9" ht="18" customHeight="1">
      <c r="A42" s="76" t="s">
        <v>94</v>
      </c>
      <c r="B42" s="76" t="s">
        <v>43</v>
      </c>
      <c r="C42" s="83" t="s">
        <v>95</v>
      </c>
      <c r="D42" s="84" t="s">
        <v>96</v>
      </c>
      <c r="E42" s="83" t="s">
        <v>60</v>
      </c>
      <c r="F42" s="85"/>
      <c r="G42" s="81">
        <f>ROUND(G33-G34,2)</f>
        <v>205.97</v>
      </c>
      <c r="H42" s="82">
        <f t="shared" si="3"/>
        <v>0</v>
      </c>
      <c r="I42" s="5">
        <f t="shared" si="1"/>
        <v>0</v>
      </c>
    </row>
    <row r="43" spans="1:9" ht="18" customHeight="1">
      <c r="A43" s="76" t="s">
        <v>97</v>
      </c>
      <c r="B43" s="76" t="s">
        <v>43</v>
      </c>
      <c r="C43" s="83" t="s">
        <v>98</v>
      </c>
      <c r="D43" s="84" t="s">
        <v>99</v>
      </c>
      <c r="E43" s="83" t="s">
        <v>60</v>
      </c>
      <c r="F43" s="85"/>
      <c r="G43" s="81">
        <f>ROUND(((G40*0.8)+(G41*1.2)*0.1)+((262.92+194.64)*0.6*0.05),2)</f>
        <v>53.96</v>
      </c>
      <c r="H43" s="82">
        <f t="shared" si="3"/>
        <v>0</v>
      </c>
      <c r="I43" s="5">
        <f t="shared" si="1"/>
        <v>0</v>
      </c>
    </row>
    <row r="44" spans="1:9" ht="18" customHeight="1">
      <c r="A44" s="76" t="s">
        <v>100</v>
      </c>
      <c r="B44" s="76" t="s">
        <v>43</v>
      </c>
      <c r="C44" s="83" t="s">
        <v>101</v>
      </c>
      <c r="D44" s="84" t="s">
        <v>102</v>
      </c>
      <c r="E44" s="83" t="s">
        <v>103</v>
      </c>
      <c r="F44" s="85"/>
      <c r="G44" s="81">
        <f>ROUND(5,2)</f>
        <v>5</v>
      </c>
      <c r="H44" s="82">
        <f t="shared" si="3"/>
        <v>0</v>
      </c>
      <c r="I44" s="5">
        <f t="shared" si="1"/>
        <v>0</v>
      </c>
    </row>
    <row r="45" spans="1:11" ht="14.25">
      <c r="A45" s="76" t="s">
        <v>104</v>
      </c>
      <c r="B45" s="76" t="s">
        <v>43</v>
      </c>
      <c r="C45" s="83" t="s">
        <v>105</v>
      </c>
      <c r="D45" s="84" t="s">
        <v>106</v>
      </c>
      <c r="E45" s="83" t="s">
        <v>60</v>
      </c>
      <c r="F45" s="85"/>
      <c r="G45" s="81">
        <f>ROUND((262.92+194.64)*0.6*0.1,2)</f>
        <v>27.45</v>
      </c>
      <c r="H45" s="82">
        <f t="shared" si="3"/>
        <v>0</v>
      </c>
      <c r="I45" s="5">
        <f t="shared" si="1"/>
        <v>0</v>
      </c>
      <c r="K45" s="105"/>
    </row>
    <row r="46" spans="1:9" ht="14.25">
      <c r="A46" s="76" t="s">
        <v>107</v>
      </c>
      <c r="B46" s="76" t="s">
        <v>43</v>
      </c>
      <c r="C46" s="86" t="s">
        <v>108</v>
      </c>
      <c r="D46" s="87" t="s">
        <v>109</v>
      </c>
      <c r="E46" s="86" t="s">
        <v>103</v>
      </c>
      <c r="F46" s="88"/>
      <c r="G46" s="81">
        <f aca="true" t="shared" si="4" ref="G46:G47">ROUND(2,2)</f>
        <v>2</v>
      </c>
      <c r="H46" s="82">
        <f t="shared" si="3"/>
        <v>0</v>
      </c>
      <c r="I46" s="5">
        <f t="shared" si="1"/>
        <v>0</v>
      </c>
    </row>
    <row r="47" spans="1:9" ht="14.25">
      <c r="A47" s="76" t="s">
        <v>110</v>
      </c>
      <c r="B47" s="76" t="s">
        <v>43</v>
      </c>
      <c r="C47" s="86" t="s">
        <v>111</v>
      </c>
      <c r="D47" s="87" t="s">
        <v>112</v>
      </c>
      <c r="E47" s="86" t="s">
        <v>103</v>
      </c>
      <c r="F47" s="88"/>
      <c r="G47" s="81">
        <f t="shared" si="4"/>
        <v>2</v>
      </c>
      <c r="H47" s="82">
        <f t="shared" si="3"/>
        <v>0</v>
      </c>
      <c r="I47" s="5">
        <f t="shared" si="1"/>
        <v>0</v>
      </c>
    </row>
    <row r="48" spans="1:9" ht="14.25">
      <c r="A48" s="76" t="s">
        <v>113</v>
      </c>
      <c r="B48" s="76" t="s">
        <v>43</v>
      </c>
      <c r="C48" s="86" t="s">
        <v>114</v>
      </c>
      <c r="D48" s="87" t="s">
        <v>115</v>
      </c>
      <c r="E48" s="106" t="s">
        <v>60</v>
      </c>
      <c r="F48" s="80"/>
      <c r="G48" s="81">
        <f>ROUND(100*2*1,2)</f>
        <v>200</v>
      </c>
      <c r="H48" s="82">
        <f t="shared" si="3"/>
        <v>0</v>
      </c>
      <c r="I48" s="5">
        <f t="shared" si="1"/>
        <v>0</v>
      </c>
    </row>
    <row r="49" spans="1:10" ht="18" customHeight="1">
      <c r="A49" s="91"/>
      <c r="B49" s="91"/>
      <c r="C49" s="98"/>
      <c r="D49" s="107"/>
      <c r="E49" s="93"/>
      <c r="F49" s="94"/>
      <c r="G49" s="95" t="s">
        <v>63</v>
      </c>
      <c r="H49" s="108">
        <f>SUM(H33:H48)</f>
        <v>0</v>
      </c>
      <c r="I49" s="5">
        <f t="shared" si="1"/>
        <v>0</v>
      </c>
      <c r="J49" s="5"/>
    </row>
    <row r="50" spans="1:9" ht="21.75" customHeight="1">
      <c r="A50" s="91"/>
      <c r="B50" s="91"/>
      <c r="C50" s="98"/>
      <c r="D50" s="107"/>
      <c r="E50" s="93"/>
      <c r="F50" s="94"/>
      <c r="G50" s="100"/>
      <c r="H50" s="94"/>
      <c r="I50" s="5">
        <f t="shared" si="1"/>
        <v>0</v>
      </c>
    </row>
    <row r="51" spans="1:14" ht="21.75" customHeight="1">
      <c r="A51" s="101" t="s">
        <v>116</v>
      </c>
      <c r="B51" s="73"/>
      <c r="C51" s="73"/>
      <c r="D51" s="71" t="s">
        <v>117</v>
      </c>
      <c r="E51" s="73"/>
      <c r="F51" s="102"/>
      <c r="G51" s="73"/>
      <c r="H51" s="73"/>
      <c r="I51" s="5">
        <f t="shared" si="1"/>
        <v>0</v>
      </c>
      <c r="K51" s="109"/>
      <c r="L51" s="109"/>
      <c r="M51" s="109"/>
      <c r="N51" s="109"/>
    </row>
    <row r="52" spans="1:14" ht="14.25">
      <c r="A52" s="110" t="s">
        <v>118</v>
      </c>
      <c r="B52" s="76" t="s">
        <v>43</v>
      </c>
      <c r="C52" s="86" t="s">
        <v>119</v>
      </c>
      <c r="D52" s="87" t="s">
        <v>120</v>
      </c>
      <c r="E52" s="86" t="s">
        <v>53</v>
      </c>
      <c r="F52" s="88"/>
      <c r="G52" s="111">
        <f>ROUND(2156.37,2)</f>
        <v>2156.37</v>
      </c>
      <c r="H52" s="82">
        <f aca="true" t="shared" si="5" ref="H52:H60">ROUND(F52*G52,2)</f>
        <v>0</v>
      </c>
      <c r="I52" s="5">
        <f t="shared" si="1"/>
        <v>0</v>
      </c>
      <c r="K52" s="109"/>
      <c r="L52" s="109"/>
      <c r="M52" s="109"/>
      <c r="N52" s="109"/>
    </row>
    <row r="53" spans="1:14" ht="14.25">
      <c r="A53" s="110" t="s">
        <v>121</v>
      </c>
      <c r="B53" s="76" t="s">
        <v>43</v>
      </c>
      <c r="C53" s="83" t="s">
        <v>122</v>
      </c>
      <c r="D53" s="84" t="s">
        <v>123</v>
      </c>
      <c r="E53" s="83" t="s">
        <v>60</v>
      </c>
      <c r="F53" s="85"/>
      <c r="G53" s="81">
        <f>ROUND(G52*0.05,2)</f>
        <v>107.82</v>
      </c>
      <c r="H53" s="82">
        <f t="shared" si="5"/>
        <v>0</v>
      </c>
      <c r="I53" s="5">
        <f t="shared" si="1"/>
        <v>0</v>
      </c>
      <c r="K53" s="112"/>
      <c r="L53" s="113"/>
      <c r="M53" s="114"/>
      <c r="N53" s="115"/>
    </row>
    <row r="54" spans="1:14" ht="14.25">
      <c r="A54" s="110" t="s">
        <v>124</v>
      </c>
      <c r="B54" s="76" t="s">
        <v>43</v>
      </c>
      <c r="C54" s="83" t="s">
        <v>125</v>
      </c>
      <c r="D54" s="84" t="s">
        <v>126</v>
      </c>
      <c r="E54" s="83" t="s">
        <v>53</v>
      </c>
      <c r="F54" s="85"/>
      <c r="G54" s="81">
        <f>ROUND(G52,2)</f>
        <v>2156.37</v>
      </c>
      <c r="H54" s="82">
        <f t="shared" si="5"/>
        <v>0</v>
      </c>
      <c r="I54" s="5">
        <f t="shared" si="1"/>
        <v>0</v>
      </c>
      <c r="K54" s="112"/>
      <c r="L54" s="113"/>
      <c r="M54" s="116"/>
      <c r="N54" s="115"/>
    </row>
    <row r="55" spans="1:14" ht="20.25">
      <c r="A55" s="110" t="s">
        <v>127</v>
      </c>
      <c r="B55" s="76" t="s">
        <v>43</v>
      </c>
      <c r="C55" s="86" t="s">
        <v>128</v>
      </c>
      <c r="D55" s="87" t="s">
        <v>129</v>
      </c>
      <c r="E55" s="86" t="s">
        <v>53</v>
      </c>
      <c r="F55" s="88"/>
      <c r="G55" s="81">
        <f>ROUND(G52,2)</f>
        <v>2156.37</v>
      </c>
      <c r="H55" s="82">
        <f t="shared" si="5"/>
        <v>0</v>
      </c>
      <c r="I55" s="5">
        <f t="shared" si="1"/>
        <v>0</v>
      </c>
      <c r="K55" s="112"/>
      <c r="L55" s="113"/>
      <c r="M55" s="116"/>
      <c r="N55" s="115"/>
    </row>
    <row r="56" spans="1:14" ht="14.25">
      <c r="A56" s="110" t="s">
        <v>130</v>
      </c>
      <c r="B56" s="76" t="s">
        <v>43</v>
      </c>
      <c r="C56" s="86" t="s">
        <v>131</v>
      </c>
      <c r="D56" s="87" t="s">
        <v>132</v>
      </c>
      <c r="E56" s="86" t="s">
        <v>60</v>
      </c>
      <c r="F56" s="88"/>
      <c r="G56" s="81">
        <f>ROUND(G52*0.15,2)</f>
        <v>323.46</v>
      </c>
      <c r="H56" s="82">
        <f t="shared" si="5"/>
        <v>0</v>
      </c>
      <c r="I56" s="5">
        <f t="shared" si="1"/>
        <v>0</v>
      </c>
      <c r="K56" s="112"/>
      <c r="L56" s="113"/>
      <c r="M56" s="116"/>
      <c r="N56" s="115"/>
    </row>
    <row r="57" spans="1:14" ht="14.25" hidden="1">
      <c r="A57" s="110" t="s">
        <v>133</v>
      </c>
      <c r="B57" s="76" t="s">
        <v>43</v>
      </c>
      <c r="C57" s="77"/>
      <c r="D57" s="117"/>
      <c r="E57" s="77"/>
      <c r="F57" s="85"/>
      <c r="G57" s="81"/>
      <c r="H57" s="82">
        <f t="shared" si="5"/>
        <v>0</v>
      </c>
      <c r="I57" s="5">
        <f t="shared" si="1"/>
        <v>0</v>
      </c>
      <c r="K57" s="112"/>
      <c r="L57" s="113"/>
      <c r="M57" s="109"/>
      <c r="N57" s="115"/>
    </row>
    <row r="58" spans="1:14" ht="18" customHeight="1" hidden="1">
      <c r="A58" s="110" t="s">
        <v>134</v>
      </c>
      <c r="B58" s="76"/>
      <c r="C58" s="77"/>
      <c r="D58" s="117"/>
      <c r="E58" s="77"/>
      <c r="F58" s="85"/>
      <c r="G58" s="81"/>
      <c r="H58" s="82">
        <f t="shared" si="5"/>
        <v>0</v>
      </c>
      <c r="I58" s="5">
        <f t="shared" si="1"/>
        <v>0</v>
      </c>
      <c r="K58" s="112"/>
      <c r="L58" s="113"/>
      <c r="M58" s="116"/>
      <c r="N58" s="115"/>
    </row>
    <row r="59" spans="1:14" ht="14.25" hidden="1">
      <c r="A59" s="110" t="s">
        <v>135</v>
      </c>
      <c r="B59" s="110"/>
      <c r="C59" s="77"/>
      <c r="D59" s="117"/>
      <c r="E59" s="77"/>
      <c r="F59" s="85"/>
      <c r="G59" s="81"/>
      <c r="H59" s="82">
        <f t="shared" si="5"/>
        <v>0</v>
      </c>
      <c r="I59" s="5">
        <f t="shared" si="1"/>
        <v>0</v>
      </c>
      <c r="K59" s="118"/>
      <c r="L59" s="109"/>
      <c r="M59" s="109"/>
      <c r="N59" s="115"/>
    </row>
    <row r="60" spans="1:14" ht="14.25" hidden="1">
      <c r="A60" s="110" t="s">
        <v>136</v>
      </c>
      <c r="B60" s="110" t="s">
        <v>43</v>
      </c>
      <c r="C60" s="77"/>
      <c r="D60" s="78"/>
      <c r="E60" s="119"/>
      <c r="F60" s="82"/>
      <c r="G60" s="81"/>
      <c r="H60" s="82">
        <f t="shared" si="5"/>
        <v>0</v>
      </c>
      <c r="I60" s="5">
        <f t="shared" si="1"/>
        <v>0</v>
      </c>
      <c r="K60" s="118"/>
      <c r="L60" s="109"/>
      <c r="M60" s="109"/>
      <c r="N60" s="115"/>
    </row>
    <row r="61" spans="1:14" ht="18" customHeight="1" hidden="1">
      <c r="A61" s="110" t="s">
        <v>137</v>
      </c>
      <c r="B61" s="110"/>
      <c r="C61" s="120"/>
      <c r="D61" s="121"/>
      <c r="E61" s="119"/>
      <c r="F61" s="82"/>
      <c r="G61" s="103"/>
      <c r="H61" s="82">
        <f>F61*G61</f>
        <v>0</v>
      </c>
      <c r="I61" s="5">
        <f t="shared" si="1"/>
        <v>0</v>
      </c>
      <c r="K61" s="118"/>
      <c r="L61" s="109"/>
      <c r="M61" s="109"/>
      <c r="N61" s="115"/>
    </row>
    <row r="62" spans="1:14" ht="18" customHeight="1" hidden="1">
      <c r="A62" s="110" t="s">
        <v>138</v>
      </c>
      <c r="B62" s="122"/>
      <c r="C62" s="123"/>
      <c r="D62" s="124"/>
      <c r="E62" s="125"/>
      <c r="F62" s="126"/>
      <c r="G62" s="127"/>
      <c r="H62" s="128"/>
      <c r="I62" s="5">
        <f t="shared" si="1"/>
        <v>0</v>
      </c>
      <c r="K62" s="118"/>
      <c r="L62" s="109"/>
      <c r="M62" s="109"/>
      <c r="N62" s="115"/>
    </row>
    <row r="63" spans="1:14" ht="18" customHeight="1" hidden="1">
      <c r="A63" s="110" t="s">
        <v>139</v>
      </c>
      <c r="B63" s="129"/>
      <c r="C63" s="130"/>
      <c r="D63" s="131"/>
      <c r="E63" s="132"/>
      <c r="F63" s="133"/>
      <c r="G63" s="134"/>
      <c r="H63" s="133"/>
      <c r="I63" s="5">
        <f t="shared" si="1"/>
        <v>0</v>
      </c>
      <c r="K63" s="118"/>
      <c r="L63" s="109"/>
      <c r="M63" s="109"/>
      <c r="N63" s="115"/>
    </row>
    <row r="64" spans="1:14" ht="18" customHeight="1">
      <c r="A64" s="91"/>
      <c r="B64" s="91"/>
      <c r="C64" s="98"/>
      <c r="D64" s="107"/>
      <c r="E64" s="135"/>
      <c r="F64" s="94"/>
      <c r="G64" s="136" t="s">
        <v>63</v>
      </c>
      <c r="H64" s="137">
        <f>SUM(H52:H56)</f>
        <v>0</v>
      </c>
      <c r="I64" s="5">
        <f t="shared" si="1"/>
        <v>0</v>
      </c>
      <c r="J64" s="97"/>
      <c r="K64" s="118"/>
      <c r="L64" s="109"/>
      <c r="M64" s="109"/>
      <c r="N64" s="109"/>
    </row>
    <row r="65" spans="1:11" ht="18.75" customHeight="1">
      <c r="A65" s="91"/>
      <c r="B65" s="91"/>
      <c r="C65" s="98"/>
      <c r="D65" s="107"/>
      <c r="E65" s="135"/>
      <c r="F65" s="94"/>
      <c r="G65" s="100"/>
      <c r="H65" s="94"/>
      <c r="I65" s="5">
        <f t="shared" si="1"/>
        <v>0</v>
      </c>
      <c r="K65" s="118"/>
    </row>
    <row r="66" spans="1:9" ht="18" customHeight="1" hidden="1">
      <c r="A66" s="138"/>
      <c r="B66" s="129"/>
      <c r="C66" s="130"/>
      <c r="D66" s="139"/>
      <c r="E66" s="132"/>
      <c r="F66" s="133"/>
      <c r="G66" s="140"/>
      <c r="H66" s="141"/>
      <c r="I66" s="5">
        <f t="shared" si="1"/>
        <v>0</v>
      </c>
    </row>
    <row r="67" spans="1:9" ht="18" customHeight="1" hidden="1">
      <c r="A67" s="138"/>
      <c r="B67" s="129"/>
      <c r="C67" s="130"/>
      <c r="D67" s="139"/>
      <c r="E67" s="132"/>
      <c r="F67" s="133"/>
      <c r="G67" s="140"/>
      <c r="H67" s="141"/>
      <c r="I67" s="5">
        <f t="shared" si="1"/>
        <v>0</v>
      </c>
    </row>
    <row r="68" spans="1:9" ht="18" customHeight="1" hidden="1">
      <c r="A68" s="142"/>
      <c r="B68" s="143"/>
      <c r="C68" s="144"/>
      <c r="D68" s="145"/>
      <c r="E68" s="146"/>
      <c r="F68" s="147"/>
      <c r="G68" s="148"/>
      <c r="H68" s="133" t="e">
        <f>G68+(G68*#REF!)</f>
        <v>#REF!</v>
      </c>
      <c r="I68" s="5" t="e">
        <f t="shared" si="1"/>
        <v>#REF!</v>
      </c>
    </row>
    <row r="69" spans="1:11" ht="16.5" customHeight="1">
      <c r="A69" s="149" t="s">
        <v>140</v>
      </c>
      <c r="B69" s="149"/>
      <c r="C69" s="149"/>
      <c r="D69" s="149"/>
      <c r="E69" s="149"/>
      <c r="F69" s="149"/>
      <c r="G69" s="149"/>
      <c r="H69" s="150">
        <f>H30+H49+H64</f>
        <v>0</v>
      </c>
      <c r="I69" s="5">
        <f t="shared" si="1"/>
        <v>0</v>
      </c>
      <c r="K69" s="151"/>
    </row>
    <row r="70" spans="1:11" ht="16.5">
      <c r="A70" s="152"/>
      <c r="B70" s="152"/>
      <c r="C70" s="152"/>
      <c r="D70" s="152"/>
      <c r="E70" s="152"/>
      <c r="F70" s="152"/>
      <c r="G70" s="152"/>
      <c r="H70" s="153"/>
      <c r="K70" s="151"/>
    </row>
    <row r="71" spans="1:11" ht="14.25">
      <c r="A71" s="70">
        <v>2</v>
      </c>
      <c r="B71" s="71"/>
      <c r="C71" s="71"/>
      <c r="D71" s="71" t="s">
        <v>141</v>
      </c>
      <c r="E71" s="71"/>
      <c r="F71" s="72"/>
      <c r="G71" s="71"/>
      <c r="H71" s="73"/>
      <c r="K71" s="151"/>
    </row>
    <row r="72" spans="1:11" ht="14.25">
      <c r="A72" s="70" t="s">
        <v>142</v>
      </c>
      <c r="B72" s="71"/>
      <c r="C72" s="71"/>
      <c r="D72" s="71" t="s">
        <v>41</v>
      </c>
      <c r="E72" s="71"/>
      <c r="F72" s="72"/>
      <c r="G72" s="71"/>
      <c r="H72" s="73"/>
      <c r="K72" s="151"/>
    </row>
    <row r="73" spans="1:11" ht="14.25">
      <c r="A73" s="76" t="s">
        <v>143</v>
      </c>
      <c r="B73" s="76" t="s">
        <v>43</v>
      </c>
      <c r="C73" s="77" t="s">
        <v>44</v>
      </c>
      <c r="D73" s="78" t="s">
        <v>45</v>
      </c>
      <c r="E73" s="79" t="s">
        <v>46</v>
      </c>
      <c r="F73" s="80"/>
      <c r="G73" s="81">
        <f>ROUND(6,2)</f>
        <v>6</v>
      </c>
      <c r="H73" s="82">
        <f aca="true" t="shared" si="6" ref="H73:H80">ROUND(F73*G73,2)</f>
        <v>0</v>
      </c>
      <c r="I73" s="5">
        <f aca="true" t="shared" si="7" ref="I73:I81">ROUND(H73*$J$9,2)</f>
        <v>0</v>
      </c>
      <c r="K73" s="151"/>
    </row>
    <row r="74" spans="1:11" ht="20.25">
      <c r="A74" s="76" t="s">
        <v>144</v>
      </c>
      <c r="B74" s="76" t="s">
        <v>43</v>
      </c>
      <c r="C74" s="154" t="s">
        <v>48</v>
      </c>
      <c r="D74" s="84" t="s">
        <v>49</v>
      </c>
      <c r="E74" s="155" t="s">
        <v>46</v>
      </c>
      <c r="F74" s="156"/>
      <c r="G74" s="81">
        <f>ROUND(251.67*2*3,2)</f>
        <v>1510.02</v>
      </c>
      <c r="H74" s="82">
        <f t="shared" si="6"/>
        <v>0</v>
      </c>
      <c r="I74" s="5">
        <f t="shared" si="7"/>
        <v>0</v>
      </c>
      <c r="K74" s="151"/>
    </row>
    <row r="75" spans="1:11" ht="14.25">
      <c r="A75" s="76" t="s">
        <v>145</v>
      </c>
      <c r="B75" s="76" t="s">
        <v>43</v>
      </c>
      <c r="C75" s="154" t="s">
        <v>95</v>
      </c>
      <c r="D75" s="84" t="s">
        <v>96</v>
      </c>
      <c r="E75" s="155" t="s">
        <v>60</v>
      </c>
      <c r="F75" s="156"/>
      <c r="G75" s="81">
        <f aca="true" t="shared" si="8" ref="G75:G77">ROUND(310.05,2)</f>
        <v>310.05</v>
      </c>
      <c r="H75" s="82">
        <f t="shared" si="6"/>
        <v>0</v>
      </c>
      <c r="I75" s="5">
        <f t="shared" si="7"/>
        <v>0</v>
      </c>
      <c r="K75" s="151"/>
    </row>
    <row r="76" spans="1:11" ht="20.25">
      <c r="A76" s="76" t="s">
        <v>146</v>
      </c>
      <c r="B76" s="76" t="s">
        <v>43</v>
      </c>
      <c r="C76" s="154" t="s">
        <v>70</v>
      </c>
      <c r="D76" s="84" t="s">
        <v>71</v>
      </c>
      <c r="E76" s="155" t="s">
        <v>60</v>
      </c>
      <c r="F76" s="156"/>
      <c r="G76" s="81">
        <f t="shared" si="8"/>
        <v>310.05</v>
      </c>
      <c r="H76" s="82">
        <f t="shared" si="6"/>
        <v>0</v>
      </c>
      <c r="I76" s="5">
        <f t="shared" si="7"/>
        <v>0</v>
      </c>
      <c r="K76" s="151"/>
    </row>
    <row r="77" spans="1:11" ht="14.25">
      <c r="A77" s="76" t="s">
        <v>147</v>
      </c>
      <c r="B77" s="76" t="s">
        <v>43</v>
      </c>
      <c r="C77" s="154" t="s">
        <v>73</v>
      </c>
      <c r="D77" s="84" t="s">
        <v>74</v>
      </c>
      <c r="E77" s="155" t="s">
        <v>60</v>
      </c>
      <c r="F77" s="156"/>
      <c r="G77" s="81">
        <f t="shared" si="8"/>
        <v>310.05</v>
      </c>
      <c r="H77" s="82">
        <f t="shared" si="6"/>
        <v>0</v>
      </c>
      <c r="I77" s="5">
        <f t="shared" si="7"/>
        <v>0</v>
      </c>
      <c r="K77" s="151"/>
    </row>
    <row r="78" spans="1:11" ht="14.25">
      <c r="A78" s="76" t="s">
        <v>148</v>
      </c>
      <c r="B78" s="76" t="s">
        <v>43</v>
      </c>
      <c r="C78" s="154" t="s">
        <v>51</v>
      </c>
      <c r="D78" s="84" t="s">
        <v>52</v>
      </c>
      <c r="E78" s="154" t="s">
        <v>53</v>
      </c>
      <c r="F78" s="157"/>
      <c r="G78" s="81">
        <f>ROUND(1645.25,2)</f>
        <v>1645.25</v>
      </c>
      <c r="H78" s="82">
        <f t="shared" si="6"/>
        <v>0</v>
      </c>
      <c r="I78" s="5">
        <f t="shared" si="7"/>
        <v>0</v>
      </c>
      <c r="K78" s="151"/>
    </row>
    <row r="79" spans="1:11" ht="14.25" hidden="1">
      <c r="A79" s="76" t="s">
        <v>149</v>
      </c>
      <c r="B79" s="76"/>
      <c r="C79" s="155"/>
      <c r="D79" s="117"/>
      <c r="E79" s="155"/>
      <c r="F79" s="156"/>
      <c r="G79" s="81"/>
      <c r="H79" s="82">
        <f t="shared" si="6"/>
        <v>0</v>
      </c>
      <c r="I79" s="5">
        <f t="shared" si="7"/>
        <v>0</v>
      </c>
      <c r="K79" s="151"/>
    </row>
    <row r="80" spans="1:11" ht="14.25" hidden="1">
      <c r="A80" s="76" t="s">
        <v>150</v>
      </c>
      <c r="B80" s="76" t="s">
        <v>43</v>
      </c>
      <c r="C80" s="89"/>
      <c r="D80" s="90"/>
      <c r="E80" s="79"/>
      <c r="F80" s="80"/>
      <c r="G80" s="81"/>
      <c r="H80" s="82">
        <f t="shared" si="6"/>
        <v>0</v>
      </c>
      <c r="I80" s="5">
        <f t="shared" si="7"/>
        <v>0</v>
      </c>
      <c r="K80" s="151"/>
    </row>
    <row r="81" spans="1:11" ht="14.25">
      <c r="A81" s="91"/>
      <c r="B81" s="91"/>
      <c r="C81" s="91"/>
      <c r="D81" s="92"/>
      <c r="E81" s="93"/>
      <c r="F81" s="94"/>
      <c r="G81" s="95" t="s">
        <v>63</v>
      </c>
      <c r="H81" s="96">
        <f>SUM(H73:H78)</f>
        <v>0</v>
      </c>
      <c r="I81" s="5">
        <f t="shared" si="7"/>
        <v>0</v>
      </c>
      <c r="J81" s="97"/>
      <c r="K81" s="151"/>
    </row>
    <row r="82" spans="1:11" ht="14.25">
      <c r="A82" s="91"/>
      <c r="B82" s="91"/>
      <c r="C82" s="98"/>
      <c r="D82" s="99"/>
      <c r="E82" s="93"/>
      <c r="F82" s="94"/>
      <c r="G82" s="100"/>
      <c r="H82" s="94"/>
      <c r="K82" s="151"/>
    </row>
    <row r="83" spans="1:11" ht="14.25">
      <c r="A83" s="101" t="s">
        <v>151</v>
      </c>
      <c r="B83" s="73"/>
      <c r="C83" s="73"/>
      <c r="D83" s="73" t="s">
        <v>65</v>
      </c>
      <c r="E83" s="73"/>
      <c r="F83" s="102"/>
      <c r="G83" s="73"/>
      <c r="H83" s="73"/>
      <c r="K83" s="151"/>
    </row>
    <row r="84" spans="1:11" ht="14.25">
      <c r="A84" s="76" t="s">
        <v>152</v>
      </c>
      <c r="B84" s="76" t="s">
        <v>43</v>
      </c>
      <c r="C84" s="154" t="s">
        <v>67</v>
      </c>
      <c r="D84" s="84" t="s">
        <v>68</v>
      </c>
      <c r="E84" s="154" t="s">
        <v>60</v>
      </c>
      <c r="F84" s="157"/>
      <c r="G84" s="81">
        <f>ROUND(((G91*0.8)+(G92*1.2)*1.4)+(176.83*0.8*0.8),2)</f>
        <v>203.89</v>
      </c>
      <c r="H84" s="82">
        <f aca="true" t="shared" si="9" ref="H84:H96">ROUND(F84*G84,2)</f>
        <v>0</v>
      </c>
      <c r="I84" s="5">
        <f aca="true" t="shared" si="10" ref="I84:I98">ROUND(H84*$J$9,2)</f>
        <v>0</v>
      </c>
      <c r="K84" s="151"/>
    </row>
    <row r="85" spans="1:11" ht="20.25">
      <c r="A85" s="76" t="s">
        <v>153</v>
      </c>
      <c r="B85" s="76" t="s">
        <v>43</v>
      </c>
      <c r="C85" s="154" t="s">
        <v>70</v>
      </c>
      <c r="D85" s="84" t="s">
        <v>71</v>
      </c>
      <c r="E85" s="155" t="s">
        <v>60</v>
      </c>
      <c r="F85" s="156"/>
      <c r="G85" s="81">
        <f>ROUND((176.83*0.8*0.8)+(0.2*0.2*3.1415*G91)+(0.3*0.3*3.1415*G92),2)</f>
        <v>128.3</v>
      </c>
      <c r="H85" s="82">
        <f t="shared" si="9"/>
        <v>0</v>
      </c>
      <c r="I85" s="5">
        <f t="shared" si="10"/>
        <v>0</v>
      </c>
      <c r="K85" s="151"/>
    </row>
    <row r="86" spans="1:11" ht="14.25">
      <c r="A86" s="76" t="s">
        <v>154</v>
      </c>
      <c r="B86" s="76" t="s">
        <v>43</v>
      </c>
      <c r="C86" s="154" t="s">
        <v>73</v>
      </c>
      <c r="D86" s="84" t="s">
        <v>74</v>
      </c>
      <c r="E86" s="155" t="s">
        <v>60</v>
      </c>
      <c r="F86" s="156"/>
      <c r="G86" s="81">
        <f>ROUND(G85,2)</f>
        <v>128.3</v>
      </c>
      <c r="H86" s="82">
        <f t="shared" si="9"/>
        <v>0</v>
      </c>
      <c r="I86" s="5">
        <f t="shared" si="10"/>
        <v>0</v>
      </c>
      <c r="K86" s="151"/>
    </row>
    <row r="87" spans="1:11" ht="14.25">
      <c r="A87" s="76" t="s">
        <v>155</v>
      </c>
      <c r="B87" s="76" t="s">
        <v>43</v>
      </c>
      <c r="C87" s="154" t="s">
        <v>76</v>
      </c>
      <c r="D87" s="84" t="s">
        <v>77</v>
      </c>
      <c r="E87" s="154" t="s">
        <v>60</v>
      </c>
      <c r="F87" s="157"/>
      <c r="G87" s="103">
        <f>ROUND(G85,2)</f>
        <v>128.3</v>
      </c>
      <c r="H87" s="82">
        <f t="shared" si="9"/>
        <v>0</v>
      </c>
      <c r="I87" s="5">
        <f t="shared" si="10"/>
        <v>0</v>
      </c>
      <c r="K87" s="151"/>
    </row>
    <row r="88" spans="1:11" ht="20.25">
      <c r="A88" s="76" t="s">
        <v>156</v>
      </c>
      <c r="B88" s="76" t="s">
        <v>43</v>
      </c>
      <c r="C88" s="154" t="s">
        <v>79</v>
      </c>
      <c r="D88" s="84" t="s">
        <v>80</v>
      </c>
      <c r="E88" s="154" t="s">
        <v>53</v>
      </c>
      <c r="F88" s="157"/>
      <c r="G88" s="81">
        <f>ROUND(0.8*4*176.83,2)</f>
        <v>565.86</v>
      </c>
      <c r="H88" s="82">
        <f t="shared" si="9"/>
        <v>0</v>
      </c>
      <c r="I88" s="5">
        <f t="shared" si="10"/>
        <v>0</v>
      </c>
      <c r="K88" s="151"/>
    </row>
    <row r="89" spans="1:11" ht="14.25">
      <c r="A89" s="76" t="s">
        <v>157</v>
      </c>
      <c r="B89" s="76" t="s">
        <v>43</v>
      </c>
      <c r="C89" s="154" t="s">
        <v>82</v>
      </c>
      <c r="D89" s="84" t="s">
        <v>83</v>
      </c>
      <c r="E89" s="154" t="s">
        <v>60</v>
      </c>
      <c r="F89" s="157"/>
      <c r="G89" s="81">
        <f>ROUND(0.8*0.8*176.83,2)</f>
        <v>113.17</v>
      </c>
      <c r="H89" s="82">
        <f t="shared" si="9"/>
        <v>0</v>
      </c>
      <c r="I89" s="5">
        <f t="shared" si="10"/>
        <v>0</v>
      </c>
      <c r="K89" s="151"/>
    </row>
    <row r="90" spans="1:11" ht="14.25">
      <c r="A90" s="76" t="s">
        <v>158</v>
      </c>
      <c r="B90" s="76" t="s">
        <v>43</v>
      </c>
      <c r="C90" s="154" t="s">
        <v>85</v>
      </c>
      <c r="D90" s="84" t="s">
        <v>86</v>
      </c>
      <c r="E90" s="154" t="s">
        <v>87</v>
      </c>
      <c r="F90" s="157"/>
      <c r="G90" s="81">
        <f>ROUND(176.83,2)</f>
        <v>176.83</v>
      </c>
      <c r="H90" s="82">
        <f t="shared" si="9"/>
        <v>0</v>
      </c>
      <c r="I90" s="5">
        <f t="shared" si="10"/>
        <v>0</v>
      </c>
      <c r="K90" s="151"/>
    </row>
    <row r="91" spans="1:11" ht="14.25">
      <c r="A91" s="76" t="s">
        <v>159</v>
      </c>
      <c r="B91" s="76" t="s">
        <v>43</v>
      </c>
      <c r="C91" s="154" t="s">
        <v>89</v>
      </c>
      <c r="D91" s="84" t="s">
        <v>90</v>
      </c>
      <c r="E91" s="154" t="s">
        <v>87</v>
      </c>
      <c r="F91" s="157"/>
      <c r="G91" s="81">
        <f>ROUND(15.64,2)</f>
        <v>15.64</v>
      </c>
      <c r="H91" s="82">
        <f t="shared" si="9"/>
        <v>0</v>
      </c>
      <c r="I91" s="5">
        <f t="shared" si="10"/>
        <v>0</v>
      </c>
      <c r="K91" s="151"/>
    </row>
    <row r="92" spans="1:11" ht="14.25">
      <c r="A92" s="76" t="s">
        <v>160</v>
      </c>
      <c r="B92" s="76" t="s">
        <v>43</v>
      </c>
      <c r="C92" s="154" t="s">
        <v>92</v>
      </c>
      <c r="D92" s="84" t="s">
        <v>93</v>
      </c>
      <c r="E92" s="154" t="s">
        <v>87</v>
      </c>
      <c r="F92" s="157"/>
      <c r="G92" s="81">
        <f>ROUND(46.55,2)</f>
        <v>46.55</v>
      </c>
      <c r="H92" s="82">
        <f t="shared" si="9"/>
        <v>0</v>
      </c>
      <c r="I92" s="5">
        <f t="shared" si="10"/>
        <v>0</v>
      </c>
      <c r="K92" s="151"/>
    </row>
    <row r="93" spans="1:11" ht="14.25">
      <c r="A93" s="76" t="s">
        <v>161</v>
      </c>
      <c r="B93" s="76" t="s">
        <v>43</v>
      </c>
      <c r="C93" s="154" t="s">
        <v>95</v>
      </c>
      <c r="D93" s="84" t="s">
        <v>96</v>
      </c>
      <c r="E93" s="154" t="s">
        <v>60</v>
      </c>
      <c r="F93" s="157"/>
      <c r="G93" s="81">
        <f>ROUND(G84-G85,2)</f>
        <v>75.59</v>
      </c>
      <c r="H93" s="82">
        <f t="shared" si="9"/>
        <v>0</v>
      </c>
      <c r="I93" s="5">
        <f t="shared" si="10"/>
        <v>0</v>
      </c>
      <c r="K93" s="151"/>
    </row>
    <row r="94" spans="1:11" ht="14.25">
      <c r="A94" s="76" t="s">
        <v>162</v>
      </c>
      <c r="B94" s="76" t="s">
        <v>43</v>
      </c>
      <c r="C94" s="154" t="s">
        <v>98</v>
      </c>
      <c r="D94" s="84" t="s">
        <v>99</v>
      </c>
      <c r="E94" s="154" t="s">
        <v>60</v>
      </c>
      <c r="F94" s="157"/>
      <c r="G94" s="81">
        <f>ROUND(((G91*0.8)+(G92*1.2)*0.1)+((176.83+125.37)*0.6*0.05),2)</f>
        <v>27.16</v>
      </c>
      <c r="H94" s="82">
        <f t="shared" si="9"/>
        <v>0</v>
      </c>
      <c r="I94" s="5">
        <f t="shared" si="10"/>
        <v>0</v>
      </c>
      <c r="K94" s="151"/>
    </row>
    <row r="95" spans="1:11" ht="14.25">
      <c r="A95" s="76" t="s">
        <v>163</v>
      </c>
      <c r="B95" s="76" t="s">
        <v>43</v>
      </c>
      <c r="C95" s="154" t="s">
        <v>101</v>
      </c>
      <c r="D95" s="84" t="s">
        <v>102</v>
      </c>
      <c r="E95" s="154" t="s">
        <v>103</v>
      </c>
      <c r="F95" s="157"/>
      <c r="G95" s="81">
        <f>ROUND(4,2)</f>
        <v>4</v>
      </c>
      <c r="H95" s="82">
        <f t="shared" si="9"/>
        <v>0</v>
      </c>
      <c r="I95" s="5">
        <f t="shared" si="10"/>
        <v>0</v>
      </c>
      <c r="K95" s="151"/>
    </row>
    <row r="96" spans="1:11" ht="14.25">
      <c r="A96" s="76" t="s">
        <v>164</v>
      </c>
      <c r="B96" s="76" t="s">
        <v>43</v>
      </c>
      <c r="C96" s="154" t="s">
        <v>105</v>
      </c>
      <c r="D96" s="84" t="s">
        <v>106</v>
      </c>
      <c r="E96" s="154" t="s">
        <v>60</v>
      </c>
      <c r="F96" s="157"/>
      <c r="G96" s="81">
        <f>ROUND((176.83+125.37)*0.6*0.1,2)</f>
        <v>18.13</v>
      </c>
      <c r="H96" s="82">
        <f t="shared" si="9"/>
        <v>0</v>
      </c>
      <c r="I96" s="5">
        <f t="shared" si="10"/>
        <v>0</v>
      </c>
      <c r="K96" s="151"/>
    </row>
    <row r="97" spans="1:11" ht="14.25" hidden="1">
      <c r="A97" s="76"/>
      <c r="B97" s="76"/>
      <c r="C97" s="154"/>
      <c r="D97" s="84"/>
      <c r="E97" s="158"/>
      <c r="F97" s="80"/>
      <c r="G97" s="81"/>
      <c r="H97" s="82"/>
      <c r="I97" s="5">
        <f t="shared" si="10"/>
        <v>0</v>
      </c>
      <c r="K97" s="151"/>
    </row>
    <row r="98" spans="1:11" ht="14.25">
      <c r="A98" s="91"/>
      <c r="B98" s="91"/>
      <c r="C98" s="98"/>
      <c r="D98" s="107"/>
      <c r="E98" s="93"/>
      <c r="F98" s="94"/>
      <c r="G98" s="95" t="s">
        <v>63</v>
      </c>
      <c r="H98" s="108">
        <f>SUM(H84:H96)</f>
        <v>0</v>
      </c>
      <c r="I98" s="5">
        <f t="shared" si="10"/>
        <v>0</v>
      </c>
      <c r="J98" s="97"/>
      <c r="K98" s="151"/>
    </row>
    <row r="99" spans="1:11" ht="14.25">
      <c r="A99" s="91"/>
      <c r="B99" s="91"/>
      <c r="C99" s="98"/>
      <c r="D99" s="107"/>
      <c r="E99" s="93"/>
      <c r="F99" s="94"/>
      <c r="G99" s="100"/>
      <c r="H99" s="94"/>
      <c r="K99" s="151"/>
    </row>
    <row r="100" spans="1:11" ht="14.25">
      <c r="A100" s="101" t="s">
        <v>165</v>
      </c>
      <c r="B100" s="73"/>
      <c r="C100" s="73"/>
      <c r="D100" s="71" t="s">
        <v>117</v>
      </c>
      <c r="E100" s="73"/>
      <c r="F100" s="102"/>
      <c r="G100" s="73"/>
      <c r="H100" s="73"/>
      <c r="K100" s="151"/>
    </row>
    <row r="101" spans="1:11" ht="14.25">
      <c r="A101" s="110" t="s">
        <v>166</v>
      </c>
      <c r="B101" s="76" t="s">
        <v>43</v>
      </c>
      <c r="C101" s="154" t="s">
        <v>167</v>
      </c>
      <c r="D101" s="84" t="s">
        <v>168</v>
      </c>
      <c r="E101" s="154" t="s">
        <v>53</v>
      </c>
      <c r="F101" s="157"/>
      <c r="G101" s="111">
        <f>ROUND(1645.25,2)</f>
        <v>1645.25</v>
      </c>
      <c r="H101" s="82">
        <f aca="true" t="shared" si="11" ref="H101:H109">ROUND(F101*G101,2)</f>
        <v>0</v>
      </c>
      <c r="I101" s="5">
        <f aca="true" t="shared" si="12" ref="I101:I113">ROUND(H101*$J$9,2)</f>
        <v>0</v>
      </c>
      <c r="K101" s="151"/>
    </row>
    <row r="102" spans="1:11" ht="14.25">
      <c r="A102" s="110" t="s">
        <v>169</v>
      </c>
      <c r="B102" s="76" t="s">
        <v>43</v>
      </c>
      <c r="C102" s="154" t="s">
        <v>122</v>
      </c>
      <c r="D102" s="84" t="s">
        <v>123</v>
      </c>
      <c r="E102" s="154" t="s">
        <v>60</v>
      </c>
      <c r="F102" s="157"/>
      <c r="G102" s="81">
        <f>ROUND(G101*0.03,2)</f>
        <v>49.36</v>
      </c>
      <c r="H102" s="82">
        <f t="shared" si="11"/>
        <v>0</v>
      </c>
      <c r="I102" s="5">
        <f t="shared" si="12"/>
        <v>0</v>
      </c>
      <c r="K102" s="151"/>
    </row>
    <row r="103" spans="1:11" ht="14.25">
      <c r="A103" s="110" t="s">
        <v>170</v>
      </c>
      <c r="B103" s="76" t="s">
        <v>43</v>
      </c>
      <c r="C103" s="154" t="s">
        <v>125</v>
      </c>
      <c r="D103" s="84" t="s">
        <v>126</v>
      </c>
      <c r="E103" s="154" t="s">
        <v>53</v>
      </c>
      <c r="F103" s="157"/>
      <c r="G103" s="81">
        <f>ROUND(G101*2,2)</f>
        <v>3290.5</v>
      </c>
      <c r="H103" s="82">
        <f t="shared" si="11"/>
        <v>0</v>
      </c>
      <c r="I103" s="5">
        <f t="shared" si="12"/>
        <v>0</v>
      </c>
      <c r="K103" s="151"/>
    </row>
    <row r="104" spans="1:11" ht="14.25">
      <c r="A104" s="110" t="s">
        <v>171</v>
      </c>
      <c r="B104" s="76" t="s">
        <v>43</v>
      </c>
      <c r="C104" s="154" t="s">
        <v>172</v>
      </c>
      <c r="D104" s="84" t="s">
        <v>173</v>
      </c>
      <c r="E104" s="154" t="s">
        <v>60</v>
      </c>
      <c r="F104" s="157"/>
      <c r="G104" s="81">
        <f>ROUND(G101*0.03,2)</f>
        <v>49.36</v>
      </c>
      <c r="H104" s="82">
        <f t="shared" si="11"/>
        <v>0</v>
      </c>
      <c r="I104" s="5">
        <f t="shared" si="12"/>
        <v>0</v>
      </c>
      <c r="K104" s="151"/>
    </row>
    <row r="105" spans="1:11" ht="14.25" hidden="1">
      <c r="A105" s="110" t="s">
        <v>174</v>
      </c>
      <c r="B105" s="76" t="s">
        <v>43</v>
      </c>
      <c r="C105" s="155"/>
      <c r="D105" s="117"/>
      <c r="E105" s="155"/>
      <c r="F105" s="80"/>
      <c r="G105" s="81"/>
      <c r="H105" s="82">
        <f t="shared" si="11"/>
        <v>0</v>
      </c>
      <c r="I105" s="5">
        <f t="shared" si="12"/>
        <v>0</v>
      </c>
      <c r="K105" s="151"/>
    </row>
    <row r="106" spans="1:11" ht="14.25" hidden="1">
      <c r="A106" s="110" t="s">
        <v>175</v>
      </c>
      <c r="B106" s="76" t="s">
        <v>43</v>
      </c>
      <c r="C106" s="155"/>
      <c r="D106" s="117"/>
      <c r="E106" s="155"/>
      <c r="F106" s="156"/>
      <c r="G106" s="81"/>
      <c r="H106" s="82">
        <f t="shared" si="11"/>
        <v>0</v>
      </c>
      <c r="I106" s="5">
        <f t="shared" si="12"/>
        <v>0</v>
      </c>
      <c r="K106" s="151"/>
    </row>
    <row r="107" spans="1:11" ht="14.25" hidden="1">
      <c r="A107" s="110" t="s">
        <v>176</v>
      </c>
      <c r="B107" s="76"/>
      <c r="C107" s="155"/>
      <c r="D107" s="117"/>
      <c r="E107" s="155"/>
      <c r="F107" s="156"/>
      <c r="G107" s="81"/>
      <c r="H107" s="82">
        <f t="shared" si="11"/>
        <v>0</v>
      </c>
      <c r="I107" s="5">
        <f t="shared" si="12"/>
        <v>0</v>
      </c>
      <c r="K107" s="151"/>
    </row>
    <row r="108" spans="1:11" ht="14.25" hidden="1">
      <c r="A108" s="110" t="s">
        <v>177</v>
      </c>
      <c r="B108" s="110"/>
      <c r="C108" s="155"/>
      <c r="D108" s="117"/>
      <c r="E108" s="155"/>
      <c r="F108" s="156"/>
      <c r="G108" s="81"/>
      <c r="H108" s="82">
        <f t="shared" si="11"/>
        <v>0</v>
      </c>
      <c r="I108" s="5">
        <f t="shared" si="12"/>
        <v>0</v>
      </c>
      <c r="K108" s="151"/>
    </row>
    <row r="109" spans="1:11" ht="14.25" hidden="1">
      <c r="A109" s="110" t="s">
        <v>178</v>
      </c>
      <c r="B109" s="110" t="s">
        <v>43</v>
      </c>
      <c r="C109" s="77"/>
      <c r="D109" s="78"/>
      <c r="E109" s="119"/>
      <c r="F109" s="82"/>
      <c r="G109" s="81"/>
      <c r="H109" s="82">
        <f t="shared" si="11"/>
        <v>0</v>
      </c>
      <c r="I109" s="5">
        <f t="shared" si="12"/>
        <v>0</v>
      </c>
      <c r="K109" s="151"/>
    </row>
    <row r="110" spans="1:11" ht="14.25" hidden="1">
      <c r="A110" s="110" t="s">
        <v>179</v>
      </c>
      <c r="B110" s="110"/>
      <c r="C110" s="120"/>
      <c r="D110" s="121"/>
      <c r="E110" s="119"/>
      <c r="F110" s="82"/>
      <c r="G110" s="103"/>
      <c r="H110" s="82">
        <f>F110*G110</f>
        <v>0</v>
      </c>
      <c r="I110" s="5">
        <f t="shared" si="12"/>
        <v>0</v>
      </c>
      <c r="K110" s="151"/>
    </row>
    <row r="111" spans="1:11" ht="14.25" hidden="1">
      <c r="A111" s="110" t="s">
        <v>180</v>
      </c>
      <c r="B111" s="122"/>
      <c r="C111" s="123"/>
      <c r="D111" s="124"/>
      <c r="E111" s="125"/>
      <c r="F111" s="126"/>
      <c r="G111" s="127"/>
      <c r="H111" s="128"/>
      <c r="I111" s="5">
        <f t="shared" si="12"/>
        <v>0</v>
      </c>
      <c r="K111" s="151"/>
    </row>
    <row r="112" spans="1:11" ht="14.25" hidden="1">
      <c r="A112" s="110" t="s">
        <v>181</v>
      </c>
      <c r="B112" s="129"/>
      <c r="C112" s="130"/>
      <c r="D112" s="131"/>
      <c r="E112" s="132"/>
      <c r="F112" s="133"/>
      <c r="G112" s="134"/>
      <c r="H112" s="133"/>
      <c r="I112" s="5">
        <f t="shared" si="12"/>
        <v>0</v>
      </c>
      <c r="K112" s="151"/>
    </row>
    <row r="113" spans="1:11" ht="14.25">
      <c r="A113" s="91"/>
      <c r="B113" s="91"/>
      <c r="C113" s="98"/>
      <c r="D113" s="107"/>
      <c r="E113" s="135"/>
      <c r="F113" s="94"/>
      <c r="G113" s="136" t="s">
        <v>63</v>
      </c>
      <c r="H113" s="137">
        <f>SUM(H101:H104)</f>
        <v>0</v>
      </c>
      <c r="I113" s="5">
        <f t="shared" si="12"/>
        <v>0</v>
      </c>
      <c r="J113" s="97"/>
      <c r="K113" s="151"/>
    </row>
    <row r="114" spans="1:11" ht="14.25">
      <c r="A114" s="91"/>
      <c r="B114" s="91"/>
      <c r="C114" s="98"/>
      <c r="D114" s="107"/>
      <c r="E114" s="135"/>
      <c r="F114" s="94"/>
      <c r="G114" s="100"/>
      <c r="H114" s="94"/>
      <c r="K114" s="151"/>
    </row>
    <row r="115" spans="1:11" ht="14.25">
      <c r="A115" s="101" t="s">
        <v>182</v>
      </c>
      <c r="B115" s="73"/>
      <c r="C115" s="73"/>
      <c r="D115" s="73" t="s">
        <v>183</v>
      </c>
      <c r="E115" s="73"/>
      <c r="F115" s="102"/>
      <c r="G115" s="73"/>
      <c r="H115" s="73"/>
      <c r="K115" s="151"/>
    </row>
    <row r="116" spans="1:11" ht="14.25">
      <c r="A116" s="110" t="s">
        <v>184</v>
      </c>
      <c r="B116" s="76" t="s">
        <v>43</v>
      </c>
      <c r="C116" s="154" t="s">
        <v>185</v>
      </c>
      <c r="D116" s="84" t="s">
        <v>186</v>
      </c>
      <c r="E116" s="154" t="s">
        <v>53</v>
      </c>
      <c r="F116" s="157"/>
      <c r="G116" s="81">
        <f>ROUND(251.67*0.1*4,2)</f>
        <v>100.67</v>
      </c>
      <c r="H116" s="82">
        <f aca="true" t="shared" si="13" ref="H116:H126">ROUND(F116*G116,2)</f>
        <v>0</v>
      </c>
      <c r="I116" s="5">
        <f aca="true" t="shared" si="14" ref="I116:I127">ROUND(H116*$J$9,2)</f>
        <v>0</v>
      </c>
      <c r="K116" s="151"/>
    </row>
    <row r="117" spans="1:11" ht="20.25">
      <c r="A117" s="110" t="s">
        <v>187</v>
      </c>
      <c r="B117" s="76" t="s">
        <v>188</v>
      </c>
      <c r="C117" s="76" t="s">
        <v>189</v>
      </c>
      <c r="D117" s="78" t="s">
        <v>190</v>
      </c>
      <c r="E117" s="159" t="s">
        <v>191</v>
      </c>
      <c r="F117" s="85"/>
      <c r="G117" s="81">
        <f>ROUND(32*2,2)</f>
        <v>64</v>
      </c>
      <c r="H117" s="82">
        <f t="shared" si="13"/>
        <v>0</v>
      </c>
      <c r="I117" s="5">
        <f t="shared" si="14"/>
        <v>0</v>
      </c>
      <c r="K117" s="151"/>
    </row>
    <row r="118" spans="1:11" ht="14.25">
      <c r="A118" s="110" t="s">
        <v>192</v>
      </c>
      <c r="B118" s="76" t="s">
        <v>188</v>
      </c>
      <c r="C118" s="76" t="s">
        <v>193</v>
      </c>
      <c r="D118" s="78" t="s">
        <v>194</v>
      </c>
      <c r="E118" s="159" t="s">
        <v>191</v>
      </c>
      <c r="F118" s="85"/>
      <c r="G118" s="81">
        <f>ROUND(32,2)</f>
        <v>32</v>
      </c>
      <c r="H118" s="82">
        <f t="shared" si="13"/>
        <v>0</v>
      </c>
      <c r="I118" s="5">
        <f t="shared" si="14"/>
        <v>0</v>
      </c>
      <c r="K118" s="151"/>
    </row>
    <row r="119" spans="1:11" ht="14.25" hidden="1">
      <c r="A119" s="110" t="s">
        <v>195</v>
      </c>
      <c r="B119" s="76"/>
      <c r="C119" s="155"/>
      <c r="D119" s="117"/>
      <c r="E119" s="155"/>
      <c r="F119" s="156"/>
      <c r="G119" s="81"/>
      <c r="H119" s="82">
        <f t="shared" si="13"/>
        <v>0</v>
      </c>
      <c r="I119" s="5">
        <f t="shared" si="14"/>
        <v>0</v>
      </c>
      <c r="K119" s="151"/>
    </row>
    <row r="120" spans="1:11" ht="14.25" hidden="1">
      <c r="A120" s="110" t="s">
        <v>196</v>
      </c>
      <c r="B120" s="110"/>
      <c r="C120" s="155"/>
      <c r="D120" s="117"/>
      <c r="E120" s="155"/>
      <c r="F120" s="156"/>
      <c r="G120" s="81"/>
      <c r="H120" s="82">
        <f t="shared" si="13"/>
        <v>0</v>
      </c>
      <c r="I120" s="5">
        <f t="shared" si="14"/>
        <v>0</v>
      </c>
      <c r="K120" s="151"/>
    </row>
    <row r="121" spans="1:11" ht="14.25" hidden="1">
      <c r="A121" s="110" t="s">
        <v>197</v>
      </c>
      <c r="B121" s="110"/>
      <c r="C121" s="155"/>
      <c r="D121" s="117"/>
      <c r="E121" s="155"/>
      <c r="F121" s="156"/>
      <c r="G121" s="81"/>
      <c r="H121" s="82">
        <f t="shared" si="13"/>
        <v>0</v>
      </c>
      <c r="I121" s="5">
        <f t="shared" si="14"/>
        <v>0</v>
      </c>
      <c r="K121" s="151"/>
    </row>
    <row r="122" spans="1:11" ht="14.25" hidden="1">
      <c r="A122" s="110" t="s">
        <v>198</v>
      </c>
      <c r="B122" s="110"/>
      <c r="C122" s="155"/>
      <c r="D122" s="117"/>
      <c r="E122" s="155"/>
      <c r="F122" s="156"/>
      <c r="G122" s="81"/>
      <c r="H122" s="82">
        <f t="shared" si="13"/>
        <v>0</v>
      </c>
      <c r="I122" s="5">
        <f t="shared" si="14"/>
        <v>0</v>
      </c>
      <c r="K122" s="151"/>
    </row>
    <row r="123" spans="1:11" ht="14.25" hidden="1">
      <c r="A123" s="110" t="s">
        <v>199</v>
      </c>
      <c r="B123" s="110"/>
      <c r="C123" s="155"/>
      <c r="D123" s="117"/>
      <c r="E123" s="155"/>
      <c r="F123" s="156"/>
      <c r="G123" s="81"/>
      <c r="H123" s="82">
        <f t="shared" si="13"/>
        <v>0</v>
      </c>
      <c r="I123" s="5">
        <f t="shared" si="14"/>
        <v>0</v>
      </c>
      <c r="K123" s="151"/>
    </row>
    <row r="124" spans="1:11" ht="14.25" hidden="1">
      <c r="A124" s="110" t="s">
        <v>200</v>
      </c>
      <c r="B124" s="110"/>
      <c r="C124" s="155"/>
      <c r="D124" s="117"/>
      <c r="E124" s="155"/>
      <c r="F124" s="156"/>
      <c r="G124" s="81"/>
      <c r="H124" s="82">
        <f t="shared" si="13"/>
        <v>0</v>
      </c>
      <c r="I124" s="5">
        <f t="shared" si="14"/>
        <v>0</v>
      </c>
      <c r="K124" s="151"/>
    </row>
    <row r="125" spans="1:11" ht="14.25" hidden="1">
      <c r="A125" s="110" t="s">
        <v>201</v>
      </c>
      <c r="B125" s="110"/>
      <c r="C125" s="155"/>
      <c r="D125" s="117"/>
      <c r="E125" s="155"/>
      <c r="F125" s="156"/>
      <c r="G125" s="81"/>
      <c r="H125" s="82">
        <f t="shared" si="13"/>
        <v>0</v>
      </c>
      <c r="I125" s="5">
        <f t="shared" si="14"/>
        <v>0</v>
      </c>
      <c r="K125" s="151"/>
    </row>
    <row r="126" spans="1:11" ht="14.25" hidden="1">
      <c r="A126" s="110" t="s">
        <v>202</v>
      </c>
      <c r="B126" s="110"/>
      <c r="C126" s="155"/>
      <c r="D126" s="117"/>
      <c r="E126" s="155"/>
      <c r="F126" s="156"/>
      <c r="G126" s="81"/>
      <c r="H126" s="82">
        <f t="shared" si="13"/>
        <v>0</v>
      </c>
      <c r="I126" s="5">
        <f t="shared" si="14"/>
        <v>0</v>
      </c>
      <c r="K126" s="151"/>
    </row>
    <row r="127" spans="1:11" ht="14.25">
      <c r="A127" s="91"/>
      <c r="B127" s="91"/>
      <c r="C127" s="98"/>
      <c r="D127" s="107"/>
      <c r="E127" s="135"/>
      <c r="F127" s="94"/>
      <c r="G127" s="95" t="s">
        <v>63</v>
      </c>
      <c r="H127" s="160">
        <f>SUM(H116:H118)</f>
        <v>0</v>
      </c>
      <c r="I127" s="5">
        <f t="shared" si="14"/>
        <v>0</v>
      </c>
      <c r="J127" s="97"/>
      <c r="K127" s="151"/>
    </row>
    <row r="128" spans="1:11" ht="16.5">
      <c r="A128" s="152"/>
      <c r="B128" s="152"/>
      <c r="C128" s="152"/>
      <c r="D128" s="152"/>
      <c r="E128" s="152"/>
      <c r="F128" s="152"/>
      <c r="G128" s="152"/>
      <c r="H128" s="153"/>
      <c r="K128" s="151"/>
    </row>
    <row r="129" spans="1:11" ht="16.5" customHeight="1">
      <c r="A129" s="149" t="s">
        <v>203</v>
      </c>
      <c r="B129" s="149"/>
      <c r="C129" s="149"/>
      <c r="D129" s="149"/>
      <c r="E129" s="149"/>
      <c r="F129" s="149"/>
      <c r="G129" s="149"/>
      <c r="H129" s="150">
        <f>H127+H113+H98+H81</f>
        <v>0</v>
      </c>
      <c r="I129" s="5">
        <f>ROUND(H129*$J$9,2)</f>
        <v>0</v>
      </c>
      <c r="J129" s="5">
        <f>SUM(J30:J127)</f>
        <v>0</v>
      </c>
      <c r="K129" s="151"/>
    </row>
    <row r="130" spans="1:11" ht="15.75">
      <c r="A130" s="152"/>
      <c r="B130" s="152"/>
      <c r="C130" s="152"/>
      <c r="D130" s="152"/>
      <c r="E130" s="152"/>
      <c r="F130" s="152"/>
      <c r="G130" s="152"/>
      <c r="H130" s="153"/>
      <c r="K130" s="151"/>
    </row>
    <row r="131" spans="1:11" ht="16.5" customHeight="1">
      <c r="A131" s="149" t="s">
        <v>204</v>
      </c>
      <c r="B131" s="149"/>
      <c r="C131" s="149"/>
      <c r="D131" s="149"/>
      <c r="E131" s="149"/>
      <c r="F131" s="149"/>
      <c r="G131" s="149"/>
      <c r="H131" s="150">
        <f>H129+H69</f>
        <v>0</v>
      </c>
      <c r="K131" s="151"/>
    </row>
    <row r="132" spans="1:11" ht="15.75" hidden="1">
      <c r="A132" s="152"/>
      <c r="B132" s="152"/>
      <c r="C132" s="152"/>
      <c r="D132" s="152"/>
      <c r="E132" s="152"/>
      <c r="F132" s="152"/>
      <c r="G132" s="152"/>
      <c r="H132" s="153"/>
      <c r="K132" s="151"/>
    </row>
    <row r="133" spans="1:11" ht="15.75" hidden="1">
      <c r="A133" s="152"/>
      <c r="B133" s="152"/>
      <c r="C133" s="152"/>
      <c r="D133" s="152"/>
      <c r="E133" s="152"/>
      <c r="F133" s="152"/>
      <c r="G133" s="152"/>
      <c r="H133" s="153"/>
      <c r="K133" s="151"/>
    </row>
    <row r="134" spans="1:11" ht="15.75" hidden="1">
      <c r="A134" s="152"/>
      <c r="B134" s="152"/>
      <c r="C134" s="152"/>
      <c r="D134" s="152"/>
      <c r="E134" s="152"/>
      <c r="F134" s="152"/>
      <c r="G134" s="152"/>
      <c r="H134" s="153"/>
      <c r="K134" s="151"/>
    </row>
    <row r="135" spans="1:11" ht="15.75" hidden="1">
      <c r="A135" s="152"/>
      <c r="B135" s="152"/>
      <c r="C135" s="152"/>
      <c r="D135" s="152"/>
      <c r="E135" s="152"/>
      <c r="F135" s="152"/>
      <c r="G135" s="152"/>
      <c r="H135" s="153"/>
      <c r="K135" s="151"/>
    </row>
    <row r="136" spans="1:11" ht="15.75" hidden="1">
      <c r="A136" s="152"/>
      <c r="B136" s="152"/>
      <c r="C136" s="152"/>
      <c r="D136" s="152"/>
      <c r="E136" s="152"/>
      <c r="F136" s="152"/>
      <c r="G136" s="152"/>
      <c r="H136" s="153"/>
      <c r="K136" s="151"/>
    </row>
    <row r="137" spans="1:11" ht="15.75" hidden="1">
      <c r="A137" s="152"/>
      <c r="B137" s="152"/>
      <c r="C137" s="152"/>
      <c r="D137" s="152"/>
      <c r="E137" s="152"/>
      <c r="F137" s="152"/>
      <c r="G137" s="152"/>
      <c r="H137" s="153"/>
      <c r="K137" s="151"/>
    </row>
    <row r="138" spans="1:11" ht="15.75" hidden="1">
      <c r="A138" s="152"/>
      <c r="B138" s="152"/>
      <c r="C138" s="152"/>
      <c r="D138" s="152"/>
      <c r="E138" s="152"/>
      <c r="F138" s="152"/>
      <c r="G138" s="152"/>
      <c r="H138" s="153"/>
      <c r="K138" s="151"/>
    </row>
    <row r="139" spans="1:11" ht="15.75" hidden="1">
      <c r="A139" s="152"/>
      <c r="B139" s="152"/>
      <c r="C139" s="152"/>
      <c r="D139" s="152"/>
      <c r="E139" s="152"/>
      <c r="F139" s="152"/>
      <c r="G139" s="152"/>
      <c r="H139" s="153"/>
      <c r="K139" s="151"/>
    </row>
    <row r="140" spans="1:11" ht="15.75" hidden="1">
      <c r="A140" s="152"/>
      <c r="B140" s="152"/>
      <c r="C140" s="152"/>
      <c r="D140" s="152"/>
      <c r="E140" s="152"/>
      <c r="F140" s="152"/>
      <c r="G140" s="152"/>
      <c r="H140" s="153"/>
      <c r="K140" s="151"/>
    </row>
    <row r="141" spans="1:11" ht="15.75" hidden="1">
      <c r="A141" s="152"/>
      <c r="B141" s="152"/>
      <c r="C141" s="152"/>
      <c r="D141" s="152"/>
      <c r="E141" s="152"/>
      <c r="F141" s="152"/>
      <c r="G141" s="152"/>
      <c r="H141" s="153"/>
      <c r="K141" s="151"/>
    </row>
    <row r="142" spans="1:11" ht="15.75" hidden="1">
      <c r="A142" s="152"/>
      <c r="B142" s="152"/>
      <c r="C142" s="152"/>
      <c r="D142" s="152"/>
      <c r="E142" s="152"/>
      <c r="F142" s="152"/>
      <c r="G142" s="152"/>
      <c r="H142" s="153"/>
      <c r="K142" s="151"/>
    </row>
    <row r="143" spans="1:11" ht="15.75" hidden="1">
      <c r="A143" s="152"/>
      <c r="B143" s="152"/>
      <c r="C143" s="152"/>
      <c r="D143" s="152"/>
      <c r="E143" s="152"/>
      <c r="F143" s="152"/>
      <c r="G143" s="152"/>
      <c r="H143" s="153"/>
      <c r="K143" s="151"/>
    </row>
    <row r="144" spans="1:11" ht="15.75" hidden="1">
      <c r="A144" s="152"/>
      <c r="B144" s="152"/>
      <c r="C144" s="152"/>
      <c r="D144" s="152"/>
      <c r="E144" s="152"/>
      <c r="F144" s="152"/>
      <c r="G144" s="152"/>
      <c r="H144" s="153"/>
      <c r="K144" s="151"/>
    </row>
    <row r="145" spans="1:11" ht="15.75" hidden="1">
      <c r="A145" s="152"/>
      <c r="B145" s="152"/>
      <c r="C145" s="152"/>
      <c r="D145" s="152"/>
      <c r="E145" s="152"/>
      <c r="F145" s="152"/>
      <c r="G145" s="152"/>
      <c r="H145" s="153"/>
      <c r="K145" s="151"/>
    </row>
    <row r="146" spans="1:11" ht="15.75" hidden="1">
      <c r="A146" s="152"/>
      <c r="B146" s="152"/>
      <c r="C146" s="152"/>
      <c r="D146" s="152"/>
      <c r="E146" s="152"/>
      <c r="F146" s="152"/>
      <c r="G146" s="152"/>
      <c r="H146" s="153"/>
      <c r="K146" s="151"/>
    </row>
    <row r="147" spans="1:11" ht="15.75" hidden="1">
      <c r="A147" s="152"/>
      <c r="B147" s="152"/>
      <c r="C147" s="152"/>
      <c r="D147" s="152"/>
      <c r="E147" s="152"/>
      <c r="F147" s="152"/>
      <c r="G147" s="152"/>
      <c r="H147" s="153"/>
      <c r="K147" s="151"/>
    </row>
    <row r="148" spans="1:11" ht="15.75" hidden="1">
      <c r="A148" s="152"/>
      <c r="B148" s="152"/>
      <c r="C148" s="152"/>
      <c r="D148" s="152"/>
      <c r="E148" s="152"/>
      <c r="F148" s="152"/>
      <c r="G148" s="152"/>
      <c r="H148" s="153"/>
      <c r="K148" s="151"/>
    </row>
    <row r="149" spans="1:11" ht="15.75" hidden="1">
      <c r="A149" s="152"/>
      <c r="B149" s="152"/>
      <c r="C149" s="152"/>
      <c r="D149" s="152"/>
      <c r="E149" s="152"/>
      <c r="F149" s="152"/>
      <c r="G149" s="152"/>
      <c r="H149" s="153"/>
      <c r="K149" s="151"/>
    </row>
    <row r="150" spans="1:11" ht="15.75" hidden="1">
      <c r="A150" s="152"/>
      <c r="B150" s="152"/>
      <c r="C150" s="152"/>
      <c r="D150" s="152"/>
      <c r="E150" s="152"/>
      <c r="F150" s="152"/>
      <c r="G150" s="152"/>
      <c r="H150" s="153"/>
      <c r="K150" s="151"/>
    </row>
    <row r="151" spans="1:11" ht="15.75" hidden="1">
      <c r="A151" s="152"/>
      <c r="B151" s="152"/>
      <c r="C151" s="152"/>
      <c r="D151" s="152"/>
      <c r="E151" s="152"/>
      <c r="F151" s="152"/>
      <c r="G151" s="152"/>
      <c r="H151" s="153"/>
      <c r="K151" s="151"/>
    </row>
    <row r="152" spans="1:11" ht="15.75" hidden="1">
      <c r="A152" s="152"/>
      <c r="B152" s="152"/>
      <c r="C152" s="152"/>
      <c r="D152" s="152"/>
      <c r="E152" s="152"/>
      <c r="F152" s="152"/>
      <c r="G152" s="152"/>
      <c r="H152" s="153"/>
      <c r="K152" s="151"/>
    </row>
    <row r="153" spans="1:11" ht="15.75" hidden="1">
      <c r="A153" s="152"/>
      <c r="B153" s="152"/>
      <c r="C153" s="152"/>
      <c r="D153" s="152"/>
      <c r="E153" s="152"/>
      <c r="F153" s="152"/>
      <c r="G153" s="152"/>
      <c r="H153" s="153"/>
      <c r="K153" s="151"/>
    </row>
    <row r="154" spans="1:11" ht="15.75" hidden="1">
      <c r="A154" s="152"/>
      <c r="B154" s="152"/>
      <c r="C154" s="152"/>
      <c r="D154" s="152"/>
      <c r="E154" s="152"/>
      <c r="F154" s="152"/>
      <c r="G154" s="152"/>
      <c r="H154" s="153"/>
      <c r="K154" s="151"/>
    </row>
    <row r="155" spans="1:11" ht="15.75" hidden="1">
      <c r="A155" s="152"/>
      <c r="B155" s="152"/>
      <c r="C155" s="152"/>
      <c r="D155" s="152"/>
      <c r="E155" s="152"/>
      <c r="F155" s="152"/>
      <c r="G155" s="152"/>
      <c r="H155" s="153"/>
      <c r="K155" s="151"/>
    </row>
    <row r="156" spans="1:11" ht="15.75" hidden="1">
      <c r="A156" s="152"/>
      <c r="B156" s="152"/>
      <c r="C156" s="152"/>
      <c r="D156" s="152"/>
      <c r="E156" s="152"/>
      <c r="F156" s="152"/>
      <c r="G156" s="152"/>
      <c r="H156" s="153"/>
      <c r="K156" s="151"/>
    </row>
    <row r="157" spans="1:11" ht="15.75" hidden="1">
      <c r="A157" s="152"/>
      <c r="B157" s="152"/>
      <c r="C157" s="152"/>
      <c r="D157" s="152"/>
      <c r="E157" s="152"/>
      <c r="F157" s="152"/>
      <c r="G157" s="152"/>
      <c r="H157" s="153"/>
      <c r="K157" s="151"/>
    </row>
    <row r="158" spans="1:11" ht="16.5" customHeight="1">
      <c r="A158" s="149" t="s">
        <v>205</v>
      </c>
      <c r="B158" s="149"/>
      <c r="C158" s="149"/>
      <c r="D158" s="149"/>
      <c r="E158" s="149"/>
      <c r="F158" s="149"/>
      <c r="G158" s="149"/>
      <c r="H158" s="150">
        <f>ROUND(H131*0.2302,2)</f>
        <v>0</v>
      </c>
      <c r="K158" s="151"/>
    </row>
    <row r="159" spans="1:11" ht="16.5" customHeight="1">
      <c r="A159" s="149" t="s">
        <v>206</v>
      </c>
      <c r="B159" s="149"/>
      <c r="C159" s="149"/>
      <c r="D159" s="149"/>
      <c r="E159" s="149"/>
      <c r="F159" s="149"/>
      <c r="G159" s="149"/>
      <c r="H159" s="150">
        <f>H158+H131</f>
        <v>0</v>
      </c>
      <c r="I159" s="5">
        <f>I127+I113+I98+I81+I64+I49+I30</f>
        <v>0</v>
      </c>
      <c r="K159" s="151"/>
    </row>
    <row r="160" spans="1:11" ht="15.75">
      <c r="A160" s="152"/>
      <c r="B160" s="161"/>
      <c r="C160" s="161"/>
      <c r="D160" s="162"/>
      <c r="E160" s="161"/>
      <c r="F160" s="163"/>
      <c r="G160" s="164"/>
      <c r="H160" s="153"/>
      <c r="K160" s="151"/>
    </row>
    <row r="161" spans="1:8" ht="12" customHeight="1">
      <c r="A161" s="161"/>
      <c r="B161" s="161"/>
      <c r="C161" s="161"/>
      <c r="D161" s="165"/>
      <c r="E161" s="161"/>
      <c r="F161" s="163"/>
      <c r="G161" s="161"/>
      <c r="H161" s="163"/>
    </row>
    <row r="162" spans="1:7" ht="11.25" customHeight="1" hidden="1">
      <c r="A162" s="166"/>
      <c r="B162" s="167"/>
      <c r="C162" s="167"/>
      <c r="D162" s="91"/>
      <c r="E162" s="167"/>
      <c r="G162" s="167"/>
    </row>
    <row r="163" spans="4:7" ht="15" customHeight="1">
      <c r="D163" s="168"/>
      <c r="E163" s="167"/>
      <c r="G163" s="167"/>
    </row>
    <row r="164" spans="4:7" ht="49.5" customHeight="1">
      <c r="D164" s="169"/>
      <c r="E164" s="167"/>
      <c r="G164" s="167"/>
    </row>
    <row r="165" ht="11.25" customHeight="1">
      <c r="D165" s="170"/>
    </row>
    <row r="166" spans="4:8" ht="9" customHeight="1">
      <c r="D166" s="2"/>
      <c r="H166" s="94"/>
    </row>
    <row r="167" spans="4:8" ht="14.25">
      <c r="D167" s="2"/>
      <c r="G167" s="167"/>
      <c r="H167" s="94"/>
    </row>
    <row r="168" spans="4:7" ht="7.5" customHeight="1">
      <c r="D168" s="2"/>
      <c r="G168" s="167"/>
    </row>
    <row r="169" ht="0.75" customHeight="1">
      <c r="D169" s="2"/>
    </row>
    <row r="170" spans="4:5" ht="29.25" customHeight="1">
      <c r="D170" s="2"/>
      <c r="E170" s="167"/>
    </row>
    <row r="171" spans="4:5" ht="12" customHeight="1">
      <c r="D171" s="169"/>
      <c r="E171" s="167"/>
    </row>
    <row r="172" spans="4:5" ht="13.5" customHeight="1">
      <c r="D172" s="170"/>
      <c r="E172" s="167"/>
    </row>
    <row r="173" spans="4:5" ht="13.5" customHeight="1">
      <c r="D173" s="2"/>
      <c r="E173" s="167"/>
    </row>
    <row r="174" spans="4:5" ht="12.75" customHeight="1">
      <c r="D174" s="2"/>
      <c r="E174" s="167"/>
    </row>
    <row r="175" spans="4:5" ht="9.75" customHeight="1" hidden="1">
      <c r="D175" s="167"/>
      <c r="E175" s="167"/>
    </row>
    <row r="176" spans="4:5" ht="13.5" customHeight="1" hidden="1">
      <c r="D176" s="167"/>
      <c r="E176" s="167"/>
    </row>
    <row r="177" spans="4:5" ht="13.5" customHeight="1" hidden="1">
      <c r="D177" s="167"/>
      <c r="E177" s="167"/>
    </row>
    <row r="178" spans="4:5" ht="1.5" customHeight="1">
      <c r="D178" s="167"/>
      <c r="E178" s="167"/>
    </row>
    <row r="179" ht="4.5" customHeight="1" hidden="1"/>
    <row r="180" ht="2.25" customHeight="1" hidden="1"/>
    <row r="187" spans="1:4" ht="41.25" customHeight="1">
      <c r="A187" s="171"/>
      <c r="B187" s="172"/>
      <c r="C187" s="172"/>
      <c r="D187" s="173"/>
    </row>
    <row r="188" spans="1:4" ht="12.75">
      <c r="A188" s="171"/>
      <c r="B188" s="172"/>
      <c r="C188" s="172"/>
      <c r="D188" s="173"/>
    </row>
    <row r="189" spans="1:4" ht="24.75" customHeight="1">
      <c r="A189" s="171"/>
      <c r="B189" s="172"/>
      <c r="C189" s="172"/>
      <c r="D189" s="173"/>
    </row>
    <row r="190" spans="1:4" ht="12.75">
      <c r="A190" s="171"/>
      <c r="B190" s="172"/>
      <c r="C190" s="172"/>
      <c r="D190" s="173"/>
    </row>
    <row r="191" spans="1:4" ht="12.75">
      <c r="A191" s="171"/>
      <c r="B191" s="172"/>
      <c r="C191" s="172"/>
      <c r="D191" s="173"/>
    </row>
    <row r="192" spans="1:4" ht="12.75">
      <c r="A192" s="171"/>
      <c r="B192" s="172"/>
      <c r="C192" s="172"/>
      <c r="D192" s="173"/>
    </row>
    <row r="193" spans="1:8" ht="12.75">
      <c r="A193" s="171"/>
      <c r="B193" s="172"/>
      <c r="C193" s="172"/>
      <c r="D193" s="173"/>
      <c r="H193" s="174"/>
    </row>
  </sheetData>
  <sheetProtection selectLockedCells="1" selectUnlockedCells="1"/>
  <mergeCells count="31">
    <mergeCell ref="D1:H1"/>
    <mergeCell ref="A3:H3"/>
    <mergeCell ref="A7:D7"/>
    <mergeCell ref="E7:H7"/>
    <mergeCell ref="E8:E9"/>
    <mergeCell ref="F8:F9"/>
    <mergeCell ref="G8:G9"/>
    <mergeCell ref="H8:H9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D15:D16"/>
    <mergeCell ref="E15:F15"/>
    <mergeCell ref="G15:H18"/>
    <mergeCell ref="A16:C16"/>
    <mergeCell ref="E16:F16"/>
    <mergeCell ref="A17:C17"/>
    <mergeCell ref="E17:F17"/>
    <mergeCell ref="A18:C18"/>
    <mergeCell ref="E18:F18"/>
    <mergeCell ref="A69:G69"/>
    <mergeCell ref="A129:G129"/>
    <mergeCell ref="A131:G131"/>
    <mergeCell ref="A158:G158"/>
    <mergeCell ref="A159:G159"/>
  </mergeCells>
  <printOptions/>
  <pageMargins left="0.7" right="0.7" top="0.30972222222222223" bottom="0.49027777777777776" header="0.5118055555555555" footer="0.5118055555555555"/>
  <pageSetup horizontalDpi="300" verticalDpi="300" orientation="landscape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dimension ref="A1:T63"/>
  <sheetViews>
    <sheetView showGridLines="0" showZeros="0" view="pageBreakPreview" zoomScale="85" zoomScaleNormal="70" zoomScaleSheetLayoutView="85" workbookViewId="0" topLeftCell="A13">
      <selection activeCell="H28" sqref="H28"/>
    </sheetView>
  </sheetViews>
  <sheetFormatPr defaultColWidth="8.00390625" defaultRowHeight="12.75"/>
  <cols>
    <col min="1" max="1" width="9.140625" style="0" customWidth="1"/>
    <col min="2" max="2" width="47.57421875" style="175" customWidth="1"/>
    <col min="3" max="3" width="12.57421875" style="175" hidden="1" customWidth="1"/>
    <col min="4" max="4" width="7.28125" style="176" hidden="1" customWidth="1"/>
    <col min="5" max="5" width="13.140625" style="168" customWidth="1"/>
    <col min="6" max="6" width="14.00390625" style="168" customWidth="1"/>
    <col min="7" max="16" width="13.57421875" style="168" customWidth="1"/>
    <col min="17" max="17" width="24.7109375" style="2" customWidth="1"/>
    <col min="18" max="19" width="9.00390625" style="0" customWidth="1"/>
    <col min="20" max="20" width="11.28125" style="0" customWidth="1"/>
    <col min="21" max="16384" width="9.00390625" style="0" customWidth="1"/>
  </cols>
  <sheetData>
    <row r="1" spans="1:17" ht="38.25" customHeight="1">
      <c r="A1" s="177"/>
      <c r="B1" s="178" t="s">
        <v>207</v>
      </c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9"/>
      <c r="P1" s="179"/>
      <c r="Q1" s="179"/>
    </row>
    <row r="2" spans="1:17" ht="46.5" customHeight="1">
      <c r="A2" s="180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81"/>
      <c r="P2" s="181"/>
      <c r="Q2" s="181"/>
    </row>
    <row r="3" spans="1:17" ht="38.25" customHeight="1">
      <c r="A3" s="12" t="s">
        <v>208</v>
      </c>
      <c r="B3" s="12"/>
      <c r="C3" s="12"/>
      <c r="D3" s="12"/>
      <c r="E3" s="12"/>
      <c r="F3" s="12"/>
      <c r="G3" s="12"/>
      <c r="H3" s="12"/>
      <c r="I3" s="12"/>
      <c r="J3" s="182"/>
      <c r="K3" s="182"/>
      <c r="L3" s="182"/>
      <c r="M3" s="182"/>
      <c r="N3" s="182"/>
      <c r="O3" s="182"/>
      <c r="P3" s="182"/>
      <c r="Q3" s="182"/>
    </row>
    <row r="4" spans="1:17" ht="3.75" customHeight="1">
      <c r="A4" s="183"/>
      <c r="B4" s="14"/>
      <c r="C4" s="14"/>
      <c r="D4" s="15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14"/>
    </row>
    <row r="5" spans="1:17" ht="19.5" customHeight="1">
      <c r="A5" s="17">
        <f>'Planilha Orcamentaria'!A5</f>
        <v>0</v>
      </c>
      <c r="B5" s="184"/>
      <c r="C5" s="184"/>
      <c r="D5" s="185"/>
      <c r="E5" s="186"/>
      <c r="F5" s="186"/>
      <c r="G5" s="187"/>
      <c r="H5" s="184"/>
      <c r="I5" s="184"/>
      <c r="J5" s="184"/>
      <c r="K5" s="184"/>
      <c r="L5" s="184"/>
      <c r="M5" s="184"/>
      <c r="N5" s="184"/>
      <c r="O5" s="184"/>
      <c r="P5" s="184"/>
      <c r="Q5" s="185"/>
    </row>
    <row r="6" spans="1:17" ht="19.5" customHeight="1">
      <c r="A6" s="188">
        <f>'Planilha Orcamentaria'!A6</f>
        <v>0</v>
      </c>
      <c r="B6" s="189"/>
      <c r="C6" s="189"/>
      <c r="D6" s="190"/>
      <c r="E6" s="191"/>
      <c r="F6" s="191"/>
      <c r="G6" s="192"/>
      <c r="H6" s="189"/>
      <c r="I6" s="189"/>
      <c r="J6" s="189"/>
      <c r="K6" s="189"/>
      <c r="L6" s="189"/>
      <c r="M6" s="189"/>
      <c r="N6" s="189"/>
      <c r="O6" s="189"/>
      <c r="P6" s="189"/>
      <c r="Q6" s="190"/>
    </row>
    <row r="7" spans="1:17" ht="19.5" customHeight="1">
      <c r="A7" s="29">
        <f>'Planilha Orcamentaria'!A7:D7</f>
        <v>0</v>
      </c>
      <c r="B7" s="23"/>
      <c r="C7" s="23"/>
      <c r="D7" s="24"/>
      <c r="E7" s="191"/>
      <c r="F7" s="191"/>
      <c r="G7" s="193"/>
      <c r="H7" s="23"/>
      <c r="I7" s="23"/>
      <c r="J7" s="23"/>
      <c r="K7" s="23"/>
      <c r="L7" s="23"/>
      <c r="M7" s="23"/>
      <c r="N7" s="23"/>
      <c r="O7" s="23"/>
      <c r="P7" s="23"/>
      <c r="Q7" s="24"/>
    </row>
    <row r="8" spans="1:17" ht="19.5" customHeight="1">
      <c r="A8" s="29">
        <f>'Planilha Orcamentaria'!A8</f>
        <v>0</v>
      </c>
      <c r="B8" s="23"/>
      <c r="C8" s="23"/>
      <c r="D8" s="24"/>
      <c r="E8" s="191"/>
      <c r="F8" s="191"/>
      <c r="G8" s="193"/>
      <c r="H8" s="23"/>
      <c r="I8" s="23"/>
      <c r="J8" s="23"/>
      <c r="K8" s="23"/>
      <c r="L8" s="23"/>
      <c r="M8" s="23"/>
      <c r="N8" s="23"/>
      <c r="O8" s="23"/>
      <c r="P8" s="23"/>
      <c r="Q8" s="24"/>
    </row>
    <row r="9" spans="1:17" ht="19.5" customHeight="1">
      <c r="A9" s="194">
        <f>'Planilha Orcamentaria'!A9:C9</f>
        <v>0</v>
      </c>
      <c r="B9" s="194"/>
      <c r="C9" s="194"/>
      <c r="D9" s="35"/>
      <c r="E9" s="195"/>
      <c r="F9" s="195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35"/>
    </row>
    <row r="10" spans="1:17" ht="7.5" customHeight="1">
      <c r="A10" s="197"/>
      <c r="B10" s="198"/>
      <c r="C10" s="37"/>
      <c r="D10" s="38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</row>
    <row r="11" spans="1:17" ht="3.75" customHeight="1">
      <c r="A11" s="199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</row>
    <row r="12" spans="1:17" ht="12.75" hidden="1">
      <c r="A12" s="200"/>
      <c r="B12" s="40"/>
      <c r="C12" s="40"/>
      <c r="D12" s="201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40"/>
    </row>
    <row r="13" spans="1:17" s="75" customFormat="1" ht="18" customHeight="1">
      <c r="A13" s="202" t="s">
        <v>209</v>
      </c>
      <c r="B13" s="203" t="s">
        <v>210</v>
      </c>
      <c r="C13" s="202" t="s">
        <v>211</v>
      </c>
      <c r="D13" s="202" t="s">
        <v>212</v>
      </c>
      <c r="E13" s="204" t="s">
        <v>213</v>
      </c>
      <c r="F13" s="204" t="s">
        <v>214</v>
      </c>
      <c r="G13" s="204" t="s">
        <v>215</v>
      </c>
      <c r="H13" s="204" t="s">
        <v>216</v>
      </c>
      <c r="I13" s="204" t="s">
        <v>217</v>
      </c>
      <c r="J13" s="204" t="s">
        <v>218</v>
      </c>
      <c r="K13" s="204" t="s">
        <v>219</v>
      </c>
      <c r="L13" s="204" t="s">
        <v>220</v>
      </c>
      <c r="M13" s="204" t="s">
        <v>221</v>
      </c>
      <c r="N13" s="204" t="s">
        <v>222</v>
      </c>
      <c r="O13" s="204" t="s">
        <v>223</v>
      </c>
      <c r="P13" s="204" t="s">
        <v>224</v>
      </c>
      <c r="Q13" s="204" t="s">
        <v>225</v>
      </c>
    </row>
    <row r="14" spans="1:17" s="75" customFormat="1" ht="12.75">
      <c r="A14" s="205">
        <f>'Planilha Orcamentaria'!A22</f>
        <v>0</v>
      </c>
      <c r="B14" s="206">
        <f>'Planilha Orcamentaria'!D22</f>
        <v>0</v>
      </c>
      <c r="C14" s="85">
        <f>'Planilha Orcamentaria'!I30</f>
        <v>0</v>
      </c>
      <c r="D14" s="207">
        <f>C14/$C$28</f>
        <v>0</v>
      </c>
      <c r="E14" s="208">
        <v>0.5</v>
      </c>
      <c r="F14" s="208">
        <v>0.5</v>
      </c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80">
        <f>SUM(E15:P15)</f>
        <v>0</v>
      </c>
    </row>
    <row r="15" spans="1:17" s="75" customFormat="1" ht="12.75">
      <c r="A15" s="205"/>
      <c r="B15" s="206"/>
      <c r="C15" s="85"/>
      <c r="D15" s="207"/>
      <c r="E15" s="80">
        <f>ROUND(E14*$C14,2)</f>
        <v>0</v>
      </c>
      <c r="F15" s="80">
        <f>ROUND(F14*$C14,2)</f>
        <v>0</v>
      </c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80"/>
    </row>
    <row r="16" spans="1:17" ht="12.75" customHeight="1">
      <c r="A16" s="205">
        <f>'Planilha Orcamentaria'!A32</f>
        <v>0</v>
      </c>
      <c r="B16" s="206">
        <f>'Planilha Orcamentaria'!D32</f>
        <v>0</v>
      </c>
      <c r="C16" s="85">
        <f>'Planilha Orcamentaria'!I49</f>
        <v>0</v>
      </c>
      <c r="D16" s="207">
        <f>C16/$C$28</f>
        <v>0</v>
      </c>
      <c r="E16" s="209"/>
      <c r="F16" s="209"/>
      <c r="G16" s="208">
        <v>0.4</v>
      </c>
      <c r="H16" s="208">
        <v>0.4</v>
      </c>
      <c r="I16" s="208">
        <v>0.2</v>
      </c>
      <c r="J16" s="209"/>
      <c r="K16" s="209"/>
      <c r="L16" s="209"/>
      <c r="M16" s="209"/>
      <c r="N16" s="209"/>
      <c r="O16" s="209"/>
      <c r="P16" s="209"/>
      <c r="Q16" s="80">
        <f>SUM(E17:P17)</f>
        <v>0</v>
      </c>
    </row>
    <row r="17" spans="1:17" ht="12.75" customHeight="1">
      <c r="A17" s="205"/>
      <c r="B17" s="206"/>
      <c r="C17" s="85"/>
      <c r="D17" s="207"/>
      <c r="E17" s="209"/>
      <c r="F17" s="209"/>
      <c r="G17" s="80">
        <f>ROUND(G16*$C16,2)</f>
        <v>0</v>
      </c>
      <c r="H17" s="80">
        <f>ROUND(H16*$C16,2)</f>
        <v>0</v>
      </c>
      <c r="I17" s="80">
        <f>ROUND(I16*$C16,2)</f>
        <v>0</v>
      </c>
      <c r="J17" s="209"/>
      <c r="K17" s="209"/>
      <c r="L17" s="209"/>
      <c r="M17" s="209"/>
      <c r="N17" s="209"/>
      <c r="O17" s="209"/>
      <c r="P17" s="209"/>
      <c r="Q17" s="80"/>
    </row>
    <row r="18" spans="1:17" ht="12.75">
      <c r="A18" s="205">
        <f>'Planilha Orcamentaria'!A51</f>
        <v>0</v>
      </c>
      <c r="B18" s="206">
        <f>'Planilha Orcamentaria'!D51</f>
        <v>0</v>
      </c>
      <c r="C18" s="85">
        <f>'Planilha Orcamentaria'!I64</f>
        <v>0</v>
      </c>
      <c r="D18" s="207">
        <f>C18/$C$28</f>
        <v>0</v>
      </c>
      <c r="E18" s="209"/>
      <c r="F18" s="209"/>
      <c r="G18" s="209">
        <v>0</v>
      </c>
      <c r="H18" s="209"/>
      <c r="I18" s="209"/>
      <c r="J18" s="208">
        <v>0.4</v>
      </c>
      <c r="K18" s="208">
        <v>0.4</v>
      </c>
      <c r="L18" s="208">
        <v>0.2</v>
      </c>
      <c r="M18" s="209"/>
      <c r="N18" s="209"/>
      <c r="O18" s="209"/>
      <c r="P18" s="209"/>
      <c r="Q18" s="80">
        <f>SUM(E19:P19)</f>
        <v>-0.01</v>
      </c>
    </row>
    <row r="19" spans="1:17" ht="12.75">
      <c r="A19" s="205"/>
      <c r="B19" s="206"/>
      <c r="C19" s="85"/>
      <c r="D19" s="207"/>
      <c r="E19" s="209"/>
      <c r="F19" s="209"/>
      <c r="G19" s="209"/>
      <c r="H19" s="209"/>
      <c r="I19" s="209"/>
      <c r="J19" s="80">
        <f>ROUND(J18*$C18,2)</f>
        <v>0</v>
      </c>
      <c r="K19" s="80">
        <f>ROUND(K18*$C18,2)</f>
        <v>0</v>
      </c>
      <c r="L19" s="80">
        <f>ROUND(L18*$C18,2)-0.01</f>
        <v>-0.01</v>
      </c>
      <c r="M19" s="209"/>
      <c r="N19" s="209"/>
      <c r="O19" s="209"/>
      <c r="P19" s="209"/>
      <c r="Q19" s="80"/>
    </row>
    <row r="20" spans="1:17" ht="12.75" customHeight="1">
      <c r="A20" s="205">
        <f>'Planilha Orcamentaria'!A72</f>
        <v>0</v>
      </c>
      <c r="B20" s="206">
        <f>'Planilha Orcamentaria'!D72</f>
        <v>0</v>
      </c>
      <c r="C20" s="85">
        <f>'Planilha Orcamentaria'!I81+0.01</f>
        <v>0.01</v>
      </c>
      <c r="D20" s="207">
        <f>C20/$C$28</f>
        <v>0.5</v>
      </c>
      <c r="E20" s="209"/>
      <c r="F20" s="209"/>
      <c r="G20" s="209">
        <v>0</v>
      </c>
      <c r="H20" s="209"/>
      <c r="I20" s="209"/>
      <c r="J20" s="209"/>
      <c r="K20" s="209"/>
      <c r="L20" s="209"/>
      <c r="M20" s="208">
        <v>1</v>
      </c>
      <c r="N20" s="209"/>
      <c r="O20" s="209"/>
      <c r="P20" s="209"/>
      <c r="Q20" s="80">
        <f>SUM(E21:P21)</f>
        <v>0.01</v>
      </c>
    </row>
    <row r="21" spans="1:17" ht="12.75">
      <c r="A21" s="205"/>
      <c r="B21" s="206"/>
      <c r="C21" s="85"/>
      <c r="D21" s="207"/>
      <c r="E21" s="209"/>
      <c r="F21" s="209"/>
      <c r="G21" s="209"/>
      <c r="H21" s="209"/>
      <c r="I21" s="209"/>
      <c r="J21" s="209"/>
      <c r="K21" s="209"/>
      <c r="L21" s="209"/>
      <c r="M21" s="80">
        <f>ROUND(M20*$C20,2)</f>
        <v>0.01</v>
      </c>
      <c r="N21" s="209"/>
      <c r="O21" s="209"/>
      <c r="P21" s="209"/>
      <c r="Q21" s="80"/>
    </row>
    <row r="22" spans="1:17" ht="12.75">
      <c r="A22" s="205">
        <f>'Planilha Orcamentaria'!A83</f>
        <v>0</v>
      </c>
      <c r="B22" s="206">
        <f>'Planilha Orcamentaria'!D83</f>
        <v>0</v>
      </c>
      <c r="C22" s="85">
        <f>'Planilha Orcamentaria'!I98</f>
        <v>0</v>
      </c>
      <c r="D22" s="207">
        <f>C22/$C$28</f>
        <v>0</v>
      </c>
      <c r="E22" s="209"/>
      <c r="F22" s="209"/>
      <c r="G22" s="209">
        <v>0</v>
      </c>
      <c r="H22" s="209"/>
      <c r="I22" s="209"/>
      <c r="J22" s="209"/>
      <c r="K22" s="209"/>
      <c r="L22" s="209"/>
      <c r="M22" s="209"/>
      <c r="N22" s="208">
        <v>1</v>
      </c>
      <c r="O22" s="209"/>
      <c r="P22" s="209"/>
      <c r="Q22" s="80">
        <f>SUM(E23:P23)</f>
        <v>0</v>
      </c>
    </row>
    <row r="23" spans="1:17" ht="12.75">
      <c r="A23" s="205"/>
      <c r="B23" s="206"/>
      <c r="C23" s="85"/>
      <c r="D23" s="207"/>
      <c r="E23" s="209"/>
      <c r="F23" s="209"/>
      <c r="G23" s="209"/>
      <c r="H23" s="209"/>
      <c r="I23" s="209"/>
      <c r="J23" s="209"/>
      <c r="K23" s="209"/>
      <c r="L23" s="209"/>
      <c r="M23" s="209"/>
      <c r="N23" s="80">
        <f>ROUND(N22*$C22,2)</f>
        <v>0</v>
      </c>
      <c r="O23" s="209"/>
      <c r="P23" s="209"/>
      <c r="Q23" s="80"/>
    </row>
    <row r="24" spans="1:17" ht="12.75">
      <c r="A24" s="205">
        <f>'Planilha Orcamentaria'!A100</f>
        <v>0</v>
      </c>
      <c r="B24" s="206">
        <f>'Planilha Orcamentaria'!D100</f>
        <v>0</v>
      </c>
      <c r="C24" s="85">
        <f>'Planilha Orcamentaria'!I113+0.01</f>
        <v>0.01</v>
      </c>
      <c r="D24" s="207">
        <f>C24/$C$28</f>
        <v>0.5</v>
      </c>
      <c r="E24" s="209"/>
      <c r="F24" s="209"/>
      <c r="G24" s="209">
        <v>0</v>
      </c>
      <c r="H24" s="209"/>
      <c r="I24" s="209"/>
      <c r="J24" s="209"/>
      <c r="K24" s="209"/>
      <c r="L24" s="209"/>
      <c r="M24" s="209"/>
      <c r="N24" s="209"/>
      <c r="O24" s="208">
        <v>1</v>
      </c>
      <c r="P24" s="209"/>
      <c r="Q24" s="80">
        <f>SUM(E25:P25)</f>
        <v>0.01</v>
      </c>
    </row>
    <row r="25" spans="1:17" ht="12.75">
      <c r="A25" s="205"/>
      <c r="B25" s="206"/>
      <c r="C25" s="85"/>
      <c r="D25" s="207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80">
        <f>ROUND(O24*$C24,2)</f>
        <v>0.01</v>
      </c>
      <c r="P25" s="209"/>
      <c r="Q25" s="80"/>
    </row>
    <row r="26" spans="1:17" ht="12.75">
      <c r="A26" s="205">
        <f>'Planilha Orcamentaria'!A115</f>
        <v>0</v>
      </c>
      <c r="B26" s="206">
        <f>'Planilha Orcamentaria'!D115</f>
        <v>0</v>
      </c>
      <c r="C26" s="85">
        <f>'Planilha Orcamentaria'!I127</f>
        <v>0</v>
      </c>
      <c r="D26" s="207">
        <f>C26/$C$28</f>
        <v>0</v>
      </c>
      <c r="E26" s="209"/>
      <c r="F26" s="209"/>
      <c r="G26" s="209">
        <v>0</v>
      </c>
      <c r="H26" s="209"/>
      <c r="I26" s="209"/>
      <c r="J26" s="209"/>
      <c r="K26" s="209"/>
      <c r="L26" s="209"/>
      <c r="M26" s="209"/>
      <c r="N26" s="209"/>
      <c r="O26" s="209"/>
      <c r="P26" s="208">
        <v>1</v>
      </c>
      <c r="Q26" s="80">
        <f>SUM(E27:P27)</f>
        <v>0</v>
      </c>
    </row>
    <row r="27" spans="1:17" ht="12.75">
      <c r="A27" s="205"/>
      <c r="B27" s="206"/>
      <c r="C27" s="85"/>
      <c r="D27" s="207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80">
        <f>ROUND(P26*$C26,2)</f>
        <v>0</v>
      </c>
      <c r="Q27" s="80"/>
    </row>
    <row r="28" spans="1:17" ht="25.5" customHeight="1">
      <c r="A28" s="210" t="s">
        <v>226</v>
      </c>
      <c r="B28" s="210"/>
      <c r="C28" s="211">
        <f>C14+C16+C18+C20+C22+C24+C26</f>
        <v>0.02</v>
      </c>
      <c r="D28" s="211"/>
      <c r="E28" s="211">
        <f>ROUND(E15+E17+E19+E21+E23+E25+E27,2)</f>
        <v>0</v>
      </c>
      <c r="F28" s="211">
        <f>ROUND(F15+F17+F19+F21+F23+F25+F27,2)</f>
        <v>0</v>
      </c>
      <c r="G28" s="211">
        <f>ROUND(G15+G17+G19+G21+G23+G25+G27,2)</f>
        <v>0</v>
      </c>
      <c r="H28" s="211">
        <f>ROUND(H15+H17+H19+H21+H23+H25+H27,2)</f>
        <v>0</v>
      </c>
      <c r="I28" s="211">
        <f>ROUND(I15+I17+I19+I21+I23+I25+I27,2)</f>
        <v>0</v>
      </c>
      <c r="J28" s="211">
        <f>ROUND(J15+J17+J19+J21+J23+J25+J27,2)</f>
        <v>0</v>
      </c>
      <c r="K28" s="211">
        <f>ROUND(K15+K17+K19+K21+K23+K25+K27,2)</f>
        <v>0</v>
      </c>
      <c r="L28" s="211">
        <f>ROUND(L15+L17+L19+L21+L23+L25+L27,2)</f>
        <v>-0.01</v>
      </c>
      <c r="M28" s="211">
        <f>ROUND(M15+M17+M19+M21+M23+M25+M27,2)</f>
        <v>0.01</v>
      </c>
      <c r="N28" s="211">
        <f>ROUND(N15+N17+N19+N21+N23+N25+N27,2)</f>
        <v>0</v>
      </c>
      <c r="O28" s="211">
        <f>ROUND(O15+O17+O19+O21+O23+O25+O27,2)</f>
        <v>0.01</v>
      </c>
      <c r="P28" s="211">
        <f>ROUND(P15+P17+P19+P21+P23+P25+P27,2)</f>
        <v>0</v>
      </c>
      <c r="Q28" s="212">
        <f>Q14+Q16+Q18+Q20+Q22+Q24+Q26</f>
        <v>0.01</v>
      </c>
    </row>
    <row r="29" spans="1:17" ht="10.5" customHeight="1">
      <c r="A29" s="213"/>
      <c r="B29" s="213"/>
      <c r="C29" s="55"/>
      <c r="D29" s="214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6"/>
    </row>
    <row r="30" spans="1:17" ht="5.25" customHeight="1" hidden="1">
      <c r="A30" s="213"/>
      <c r="B30" s="213"/>
      <c r="C30" s="55"/>
      <c r="D30" s="214"/>
      <c r="E30" s="215"/>
      <c r="F30" s="215"/>
      <c r="G30" s="215"/>
      <c r="H30" s="215"/>
      <c r="I30" s="215"/>
      <c r="J30" s="215"/>
      <c r="K30" s="215"/>
      <c r="L30" s="215"/>
      <c r="M30" s="215"/>
      <c r="N30" s="215"/>
      <c r="O30" s="215"/>
      <c r="P30" s="215"/>
      <c r="Q30" s="216"/>
    </row>
    <row r="31" spans="1:17" ht="14.25" customHeight="1">
      <c r="A31" s="213"/>
      <c r="B31" s="213"/>
      <c r="C31" s="55"/>
      <c r="D31" s="214"/>
      <c r="E31" s="217">
        <f>'Planilha Orcamentaria'!D163</f>
        <v>0</v>
      </c>
      <c r="F31" s="217"/>
      <c r="G31" s="214"/>
      <c r="H31" s="214"/>
      <c r="I31" s="215"/>
      <c r="J31" s="215"/>
      <c r="K31" s="215"/>
      <c r="L31" s="215"/>
      <c r="M31" s="215"/>
      <c r="N31" s="215"/>
      <c r="O31" s="215"/>
      <c r="P31" s="215"/>
      <c r="Q31" s="216"/>
    </row>
    <row r="32" spans="1:17" ht="12.75">
      <c r="A32" s="213"/>
      <c r="B32" s="213"/>
      <c r="C32" s="55"/>
      <c r="D32" s="214"/>
      <c r="E32" s="215"/>
      <c r="F32" s="215"/>
      <c r="G32" s="215"/>
      <c r="H32" s="215"/>
      <c r="I32" s="215"/>
      <c r="J32" s="215"/>
      <c r="K32" s="215"/>
      <c r="L32" s="215"/>
      <c r="M32" s="215"/>
      <c r="N32" s="215"/>
      <c r="O32" s="215"/>
      <c r="P32" s="215"/>
      <c r="Q32" s="216"/>
    </row>
    <row r="33" spans="1:17" ht="21" customHeight="1">
      <c r="A33" s="213"/>
      <c r="B33" s="213"/>
      <c r="C33" s="55"/>
      <c r="D33" s="214"/>
      <c r="E33" s="215"/>
      <c r="F33" s="215"/>
      <c r="G33" s="215"/>
      <c r="H33" s="215"/>
      <c r="I33" s="215"/>
      <c r="J33" s="215"/>
      <c r="K33" s="215"/>
      <c r="L33" s="215"/>
      <c r="M33" s="215"/>
      <c r="N33" s="215"/>
      <c r="O33" s="215"/>
      <c r="P33" s="215"/>
      <c r="Q33" s="216"/>
    </row>
    <row r="34" spans="3:17" ht="12.75">
      <c r="C34" s="218"/>
      <c r="D34" s="218"/>
      <c r="E34" s="219"/>
      <c r="F34" s="219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</row>
    <row r="35" spans="3:17" ht="12.75">
      <c r="C35" s="220"/>
      <c r="D35" s="220"/>
      <c r="E35" s="221">
        <f>'Planilha Orcamentaria'!D165</f>
        <v>0</v>
      </c>
      <c r="F35" s="221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</row>
    <row r="36" spans="3:17" ht="12.75" customHeight="1">
      <c r="C36" s="222"/>
      <c r="D36" s="222"/>
      <c r="E36" s="223">
        <f>'Planilha Orcamentaria'!D166</f>
        <v>0</v>
      </c>
      <c r="F36" s="223"/>
      <c r="G36" s="223"/>
      <c r="H36" s="223"/>
      <c r="I36" s="223"/>
      <c r="J36" s="223"/>
      <c r="K36" s="223"/>
      <c r="L36" s="223"/>
      <c r="M36" s="223"/>
      <c r="N36" s="223"/>
      <c r="O36" s="223"/>
      <c r="P36" s="223"/>
      <c r="Q36" s="223"/>
    </row>
    <row r="37" spans="3:17" ht="13.5" customHeight="1">
      <c r="C37" s="222"/>
      <c r="D37" s="222"/>
      <c r="E37" s="223">
        <f>'Planilha Orcamentaria'!D167</f>
        <v>0</v>
      </c>
      <c r="F37" s="223"/>
      <c r="G37" s="223"/>
      <c r="H37" s="223"/>
      <c r="I37" s="223"/>
      <c r="J37" s="223"/>
      <c r="K37" s="223"/>
      <c r="L37" s="223"/>
      <c r="M37" s="223"/>
      <c r="N37" s="223"/>
      <c r="O37" s="223"/>
      <c r="P37" s="223"/>
      <c r="Q37" s="223"/>
    </row>
    <row r="38" spans="3:17" ht="12.75">
      <c r="C38" s="224"/>
      <c r="D38" s="224"/>
      <c r="E38" s="177"/>
      <c r="F38" s="177"/>
      <c r="G38" s="177"/>
      <c r="H38" s="177"/>
      <c r="I38" s="177"/>
      <c r="J38" s="177"/>
      <c r="K38" s="177"/>
      <c r="L38" s="177"/>
      <c r="M38" s="177"/>
      <c r="N38" s="177"/>
      <c r="O38" s="177"/>
      <c r="P38" s="177"/>
      <c r="Q38" s="177"/>
    </row>
    <row r="39" spans="3:17" ht="5.25" customHeight="1">
      <c r="C39" s="224"/>
      <c r="D39" s="224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</row>
    <row r="40" spans="3:17" ht="11.25" customHeight="1">
      <c r="C40" s="224"/>
      <c r="D40" s="224"/>
      <c r="E40" s="177"/>
      <c r="F40" s="177"/>
      <c r="G40" s="177"/>
      <c r="H40" s="177"/>
      <c r="I40" s="177"/>
      <c r="J40" s="177"/>
      <c r="K40" s="218"/>
      <c r="L40" s="218"/>
      <c r="M40" s="177"/>
      <c r="N40" s="224"/>
      <c r="O40" s="224"/>
      <c r="P40" s="218"/>
      <c r="Q40" s="218"/>
    </row>
    <row r="41" spans="3:17" ht="12" customHeight="1">
      <c r="C41" s="218"/>
      <c r="D41" s="218"/>
      <c r="E41" s="219"/>
      <c r="F41" s="219"/>
      <c r="G41" s="218"/>
      <c r="H41" s="218"/>
      <c r="I41" s="218"/>
      <c r="J41" s="218"/>
      <c r="K41" s="220"/>
      <c r="L41" s="220"/>
      <c r="M41" s="218"/>
      <c r="N41" s="218"/>
      <c r="O41" s="218"/>
      <c r="P41" s="220">
        <f aca="true" t="shared" si="0" ref="P41:P43">K41</f>
        <v>0</v>
      </c>
      <c r="Q41" s="220"/>
    </row>
    <row r="42" spans="3:17" ht="13.5" customHeight="1">
      <c r="C42" s="220"/>
      <c r="D42" s="220"/>
      <c r="E42" s="221">
        <f>'Planilha Orcamentaria'!D172</f>
        <v>0</v>
      </c>
      <c r="F42" s="221"/>
      <c r="G42" s="220"/>
      <c r="H42" s="220"/>
      <c r="I42" s="220"/>
      <c r="J42" s="220"/>
      <c r="K42" s="220"/>
      <c r="L42" s="220"/>
      <c r="M42" s="220"/>
      <c r="N42" s="220"/>
      <c r="O42" s="220"/>
      <c r="P42" s="220">
        <f t="shared" si="0"/>
        <v>0</v>
      </c>
      <c r="Q42" s="220"/>
    </row>
    <row r="43" spans="3:17" ht="13.5" customHeight="1">
      <c r="C43" s="222"/>
      <c r="D43" s="222"/>
      <c r="E43" s="223">
        <f>'Planilha Orcamentaria'!D173</f>
        <v>0</v>
      </c>
      <c r="F43" s="223"/>
      <c r="G43" s="223"/>
      <c r="H43" s="223"/>
      <c r="I43" s="223"/>
      <c r="J43" s="223"/>
      <c r="K43" s="222"/>
      <c r="L43" s="222"/>
      <c r="M43" s="223"/>
      <c r="N43" s="222"/>
      <c r="O43" s="222"/>
      <c r="P43" s="223">
        <f t="shared" si="0"/>
        <v>0</v>
      </c>
      <c r="Q43" s="223"/>
    </row>
    <row r="44" spans="3:17" ht="13.5" customHeight="1">
      <c r="C44" s="222"/>
      <c r="D44" s="222"/>
      <c r="E44" s="223">
        <f>'Planilha Orcamentaria'!D174</f>
        <v>0</v>
      </c>
      <c r="F44" s="223"/>
      <c r="G44" s="223"/>
      <c r="H44" s="223"/>
      <c r="I44" s="223"/>
      <c r="J44" s="223"/>
      <c r="K44" s="223"/>
      <c r="L44" s="223"/>
      <c r="M44" s="223"/>
      <c r="N44" s="222"/>
      <c r="O44" s="222"/>
      <c r="P44" s="223"/>
      <c r="Q44" s="223"/>
    </row>
    <row r="45" spans="4:17" ht="3.75" customHeight="1">
      <c r="D45" s="167"/>
      <c r="E45" s="167"/>
      <c r="F45" s="167"/>
      <c r="G45" s="167"/>
      <c r="H45" s="167"/>
      <c r="I45" s="167"/>
      <c r="J45" s="167"/>
      <c r="K45" s="167"/>
      <c r="L45" s="167"/>
      <c r="M45" s="167"/>
      <c r="N45" s="167"/>
      <c r="O45" s="167"/>
      <c r="P45" s="167"/>
      <c r="Q45" s="167"/>
    </row>
    <row r="46" spans="4:17" ht="13.5" customHeight="1" hidden="1"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</row>
    <row r="47" spans="4:17" ht="13.5" customHeight="1" hidden="1">
      <c r="D47" s="167"/>
      <c r="E47" s="167"/>
      <c r="F47" s="167"/>
      <c r="G47" s="167"/>
      <c r="H47" s="167"/>
      <c r="I47" s="167"/>
      <c r="J47" s="167"/>
      <c r="K47" s="167"/>
      <c r="L47" s="167"/>
      <c r="M47" s="167"/>
      <c r="N47" s="167"/>
      <c r="O47" s="167"/>
      <c r="P47" s="167"/>
      <c r="Q47" s="167"/>
    </row>
    <row r="48" spans="4:17" ht="1.5" customHeight="1">
      <c r="D48" s="167"/>
      <c r="E48" s="167"/>
      <c r="F48" s="167"/>
      <c r="G48" s="167"/>
      <c r="H48" s="167"/>
      <c r="I48" s="167"/>
      <c r="J48" s="167"/>
      <c r="K48" s="167"/>
      <c r="L48" s="167"/>
      <c r="M48" s="167"/>
      <c r="N48" s="167"/>
      <c r="O48" s="167"/>
      <c r="P48" s="167"/>
      <c r="Q48" s="167"/>
    </row>
    <row r="49" ht="26.25" customHeight="1" hidden="1"/>
    <row r="50" ht="26.25" customHeight="1" hidden="1"/>
    <row r="57" spans="1:20" s="229" customFormat="1" ht="41.25" customHeight="1">
      <c r="A57" s="225"/>
      <c r="B57" s="226"/>
      <c r="C57" s="226"/>
      <c r="D57" s="227"/>
      <c r="E57" s="228"/>
      <c r="F57" s="228"/>
      <c r="G57" s="228"/>
      <c r="H57" s="228"/>
      <c r="I57" s="228"/>
      <c r="J57" s="228"/>
      <c r="K57" s="228"/>
      <c r="L57" s="228"/>
      <c r="M57" s="228"/>
      <c r="N57" s="228"/>
      <c r="O57" s="228"/>
      <c r="P57" s="228"/>
      <c r="Q57" s="2"/>
      <c r="R57"/>
      <c r="S57"/>
      <c r="T57"/>
    </row>
    <row r="58" spans="1:20" s="229" customFormat="1" ht="12.75">
      <c r="A58" s="225"/>
      <c r="B58" s="226"/>
      <c r="C58" s="226"/>
      <c r="D58" s="227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"/>
      <c r="R58"/>
      <c r="S58"/>
      <c r="T58"/>
    </row>
    <row r="59" spans="1:20" s="229" customFormat="1" ht="24.75" customHeight="1">
      <c r="A59" s="225"/>
      <c r="B59" s="226"/>
      <c r="C59" s="226"/>
      <c r="D59" s="227"/>
      <c r="E59" s="228"/>
      <c r="F59" s="228"/>
      <c r="G59" s="228"/>
      <c r="H59" s="228"/>
      <c r="I59" s="228"/>
      <c r="J59" s="228"/>
      <c r="K59" s="228"/>
      <c r="L59" s="228"/>
      <c r="M59" s="228"/>
      <c r="N59" s="228"/>
      <c r="O59" s="228"/>
      <c r="P59" s="228"/>
      <c r="Q59" s="2"/>
      <c r="R59"/>
      <c r="S59"/>
      <c r="T59"/>
    </row>
    <row r="60" spans="1:20" s="229" customFormat="1" ht="12.75">
      <c r="A60" s="225"/>
      <c r="B60" s="226"/>
      <c r="C60" s="226"/>
      <c r="D60" s="227"/>
      <c r="E60" s="228"/>
      <c r="F60" s="228"/>
      <c r="G60" s="228"/>
      <c r="H60" s="228"/>
      <c r="I60" s="228"/>
      <c r="J60" s="228"/>
      <c r="K60" s="228"/>
      <c r="L60" s="228"/>
      <c r="M60" s="228"/>
      <c r="N60" s="228"/>
      <c r="O60" s="228"/>
      <c r="P60" s="228"/>
      <c r="Q60" s="2"/>
      <c r="R60"/>
      <c r="S60"/>
      <c r="T60"/>
    </row>
    <row r="61" spans="1:20" s="229" customFormat="1" ht="12.75">
      <c r="A61" s="225"/>
      <c r="B61" s="226"/>
      <c r="C61" s="226"/>
      <c r="D61" s="227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"/>
      <c r="R61"/>
      <c r="S61"/>
      <c r="T61"/>
    </row>
    <row r="62" spans="1:20" s="229" customFormat="1" ht="12.75">
      <c r="A62" s="225"/>
      <c r="B62" s="226"/>
      <c r="C62" s="226"/>
      <c r="D62" s="227"/>
      <c r="E62" s="228"/>
      <c r="F62" s="228"/>
      <c r="G62" s="228"/>
      <c r="H62" s="228"/>
      <c r="I62" s="228"/>
      <c r="J62" s="228"/>
      <c r="K62" s="228"/>
      <c r="L62" s="228"/>
      <c r="M62" s="228"/>
      <c r="N62" s="228"/>
      <c r="O62" s="228"/>
      <c r="P62" s="228"/>
      <c r="Q62" s="2"/>
      <c r="R62"/>
      <c r="S62"/>
      <c r="T62"/>
    </row>
    <row r="63" spans="1:20" s="229" customFormat="1" ht="12.75">
      <c r="A63" s="225"/>
      <c r="B63" s="226"/>
      <c r="C63" s="226"/>
      <c r="D63" s="227"/>
      <c r="E63" s="228"/>
      <c r="F63" s="228"/>
      <c r="G63" s="228"/>
      <c r="H63" s="228"/>
      <c r="I63" s="228"/>
      <c r="J63" s="228"/>
      <c r="K63" s="228"/>
      <c r="L63" s="228"/>
      <c r="M63" s="228"/>
      <c r="N63" s="228"/>
      <c r="O63" s="228"/>
      <c r="P63" s="228"/>
      <c r="Q63" s="2"/>
      <c r="R63"/>
      <c r="S63"/>
      <c r="T63"/>
    </row>
  </sheetData>
  <sheetProtection selectLockedCells="1" selectUnlockedCells="1"/>
  <mergeCells count="41">
    <mergeCell ref="B1:N2"/>
    <mergeCell ref="A3:I3"/>
    <mergeCell ref="A9:C9"/>
    <mergeCell ref="G9:H9"/>
    <mergeCell ref="A14:A15"/>
    <mergeCell ref="B14:B15"/>
    <mergeCell ref="C14:C15"/>
    <mergeCell ref="D14:D15"/>
    <mergeCell ref="Q14:Q15"/>
    <mergeCell ref="A16:A17"/>
    <mergeCell ref="B16:B17"/>
    <mergeCell ref="C16:C17"/>
    <mergeCell ref="D16:D17"/>
    <mergeCell ref="Q16:Q17"/>
    <mergeCell ref="A18:A19"/>
    <mergeCell ref="B18:B19"/>
    <mergeCell ref="C18:C19"/>
    <mergeCell ref="D18:D19"/>
    <mergeCell ref="Q18:Q19"/>
    <mergeCell ref="A20:A21"/>
    <mergeCell ref="B20:B21"/>
    <mergeCell ref="C20:C21"/>
    <mergeCell ref="D20:D21"/>
    <mergeCell ref="Q20:Q21"/>
    <mergeCell ref="A22:A23"/>
    <mergeCell ref="B22:B23"/>
    <mergeCell ref="C22:C23"/>
    <mergeCell ref="D22:D23"/>
    <mergeCell ref="Q22:Q23"/>
    <mergeCell ref="A24:A25"/>
    <mergeCell ref="B24:B25"/>
    <mergeCell ref="C24:C25"/>
    <mergeCell ref="D24:D25"/>
    <mergeCell ref="Q24:Q25"/>
    <mergeCell ref="A26:A27"/>
    <mergeCell ref="B26:B27"/>
    <mergeCell ref="C26:C27"/>
    <mergeCell ref="D26:D27"/>
    <mergeCell ref="Q26:Q27"/>
    <mergeCell ref="A28:B28"/>
    <mergeCell ref="C28:D28"/>
  </mergeCells>
  <printOptions/>
  <pageMargins left="0.7083333333333334" right="0.7083333333333334" top="0.31527777777777777" bottom="0.4722222222222222" header="0.5118055555555555" footer="0.5118055555555555"/>
  <pageSetup horizontalDpi="300" verticalDpi="300" orientation="landscape" paperSize="9" scale="5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Vanderlei</dc:creator>
  <cp:keywords/>
  <dc:description/>
  <cp:lastModifiedBy/>
  <cp:lastPrinted>2019-03-07T13:52:31Z</cp:lastPrinted>
  <dcterms:created xsi:type="dcterms:W3CDTF">2019-02-20T19:11:42Z</dcterms:created>
  <dcterms:modified xsi:type="dcterms:W3CDTF">2019-03-07T13:53:28Z</dcterms:modified>
  <cp:category/>
  <cp:version/>
  <cp:contentType/>
  <cp:contentStatus/>
  <cp:revision>9</cp:revision>
</cp:coreProperties>
</file>