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." sheetId="1" state="visible" r:id="rId3"/>
    <sheet name="CRONO. FIS-FINAN" sheetId="2" state="visible" r:id="rId4"/>
    <sheet name="COMPOSIÇÕES" sheetId="3" state="visible" r:id="rId5"/>
    <sheet name="DESC. COMP - ACAD." sheetId="4" state="visible" r:id="rId6"/>
    <sheet name="DESC. COMP - PLGR" sheetId="5" state="visible" r:id="rId7"/>
    <sheet name="BDI" sheetId="6" state="visible" r:id="rId8"/>
  </sheets>
  <externalReferences>
    <externalReference r:id="rId9"/>
  </externalReferences>
  <definedNames>
    <definedName function="false" hidden="false" localSheetId="5" name="_xlnm.Print_Area" vbProcedure="false">BDI!$A$1:$E$39</definedName>
    <definedName function="false" hidden="false" localSheetId="1" name="_xlnm.Print_Area" vbProcedure="false">'CRONO. FIS-FINAN'!$B$1:$L$54</definedName>
    <definedName function="false" hidden="false" localSheetId="0" name="_xlnm.Print_Area" vbProcedure="false">'ORÇ.'!$B$2:$K$181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<sst xmlns="http://schemas.openxmlformats.org/spreadsheetml/2006/main" count="1060" uniqueCount="570">
  <si>
    <t xml:space="preserve">PREFEITURA MUNICIPAL DE ESPÍRITO SANTO DO PINHAL - SP</t>
  </si>
  <si>
    <t xml:space="preserve">PLANILHA ORÇAMENTÁRIA </t>
  </si>
  <si>
    <t xml:space="preserve">AVENIDA WASHINGTON LUÍS, Nº 50 - CENTRO – EDIFÍCIO DO  PAÇO MUNICIPAL </t>
  </si>
  <si>
    <t xml:space="preserve">ESPIRITO SANTO DO PINHAL - SP – CNPJ Nº 45.739.083/0001-73 </t>
  </si>
  <si>
    <t xml:space="preserve">Objeto:</t>
  </si>
  <si>
    <t xml:space="preserve">Projeto de Ampliação em Unidade Básica de Saúde do Município – UBS Iracema Pinto Ricci Nina</t>
  </si>
  <si>
    <t xml:space="preserve">BDI:</t>
  </si>
  <si>
    <t xml:space="preserve">Fonte:</t>
  </si>
  <si>
    <t xml:space="preserve">CDHU 199</t>
  </si>
  <si>
    <t xml:space="preserve">Local:</t>
  </si>
  <si>
    <t xml:space="preserve">Jardim Diva Sarcinelli, Rua Amadeu Pinto – Espírito Santo do Pinhal – SP</t>
  </si>
  <si>
    <t xml:space="preserve">Atualizado:</t>
  </si>
  <si>
    <t xml:space="preserve">Sem Desoneração</t>
  </si>
  <si>
    <t xml:space="preserve">SINAPI – SETEMBRO 2025</t>
  </si>
  <si>
    <t xml:space="preserve">QUADRO RESUMO DO ORÇAMENTO</t>
  </si>
  <si>
    <t xml:space="preserve">ITEM</t>
  </si>
  <si>
    <t xml:space="preserve">DESCRIÇÃO</t>
  </si>
  <si>
    <t xml:space="preserve">CUSTO TOTAL</t>
  </si>
  <si>
    <t xml:space="preserve">(%) ITENS</t>
  </si>
  <si>
    <t xml:space="preserve">CUSTO TOTAL COM BDI INCLUSO:</t>
  </si>
  <si>
    <t xml:space="preserve">FONTE / CÓDIGO</t>
  </si>
  <si>
    <t xml:space="preserve">UNID</t>
  </si>
  <si>
    <t xml:space="preserve">QUANT</t>
  </si>
  <si>
    <t xml:space="preserve">VALOR UNITÁRIO</t>
  </si>
  <si>
    <t xml:space="preserve">VALOR UNITÁRIO C/ BDI</t>
  </si>
  <si>
    <t xml:space="preserve">SERVIÇOS PRELIMINARES</t>
  </si>
  <si>
    <t xml:space="preserve">SUBTOTAL:</t>
  </si>
  <si>
    <t xml:space="preserve">1.1</t>
  </si>
  <si>
    <t xml:space="preserve">CDHU</t>
  </si>
  <si>
    <t xml:space="preserve">02.10.020</t>
  </si>
  <si>
    <t xml:space="preserve">Locação de obra de edificação</t>
  </si>
  <si>
    <t xml:space="preserve">M2</t>
  </si>
  <si>
    <t xml:space="preserve">1.2</t>
  </si>
  <si>
    <t xml:space="preserve">02.08.020</t>
  </si>
  <si>
    <t xml:space="preserve">Placa de identificação para obra</t>
  </si>
  <si>
    <t xml:space="preserve">1.3</t>
  </si>
  <si>
    <t xml:space="preserve">01.17.061</t>
  </si>
  <si>
    <t xml:space="preserve">Projeto executivo de estrutura em formato A1</t>
  </si>
  <si>
    <t xml:space="preserve">UN</t>
  </si>
  <si>
    <t xml:space="preserve">1.4</t>
  </si>
  <si>
    <t xml:space="preserve">01.17.111</t>
  </si>
  <si>
    <t xml:space="preserve">Projeto executivo de instalações elétricas em formato A1</t>
  </si>
  <si>
    <t xml:space="preserve">1.5</t>
  </si>
  <si>
    <t xml:space="preserve">01.17.081</t>
  </si>
  <si>
    <t xml:space="preserve">Projeto executivo de instalações hidráulicas em formato A1</t>
  </si>
  <si>
    <t xml:space="preserve">1.6</t>
  </si>
  <si>
    <t xml:space="preserve">03.02.040</t>
  </si>
  <si>
    <t xml:space="preserve">Demolição manual de alvenaria de elevação ou elemento vazado, incluindo revestimento</t>
  </si>
  <si>
    <t xml:space="preserve">M3</t>
  </si>
  <si>
    <t xml:space="preserve">1.7</t>
  </si>
  <si>
    <t xml:space="preserve">04.03.020</t>
  </si>
  <si>
    <t xml:space="preserve">Retirada de telhamento em barro</t>
  </si>
  <si>
    <t xml:space="preserve">1.8</t>
  </si>
  <si>
    <t xml:space="preserve">04.02.090</t>
  </si>
  <si>
    <t xml:space="preserve">Retirada de estrutura em madeira pontaletada – telhas de barro</t>
  </si>
  <si>
    <t xml:space="preserve">1.9</t>
  </si>
  <si>
    <t xml:space="preserve">04.11.030</t>
  </si>
  <si>
    <t xml:space="preserve">Retirada de bancada incluindo pertences</t>
  </si>
  <si>
    <t xml:space="preserve">1.10</t>
  </si>
  <si>
    <t xml:space="preserve">04.09.020</t>
  </si>
  <si>
    <t xml:space="preserve">Retirada de esquadria metálica em geral</t>
  </si>
  <si>
    <t xml:space="preserve">1.11</t>
  </si>
  <si>
    <t xml:space="preserve">03.01.060</t>
  </si>
  <si>
    <t xml:space="preserve">Demolição manual de lajes pré-moldadas, incluindo revestimento</t>
  </si>
  <si>
    <t xml:space="preserve">FUNDAÇÕES</t>
  </si>
  <si>
    <t xml:space="preserve">2.1</t>
  </si>
  <si>
    <t xml:space="preserve">FUNDAÇÕES PROFUNDAS</t>
  </si>
  <si>
    <t xml:space="preserve">2.1.1</t>
  </si>
  <si>
    <t xml:space="preserve">12.01.061</t>
  </si>
  <si>
    <t xml:space="preserve">Broca em concreto armado diâmetro de 30 cm – completa</t>
  </si>
  <si>
    <t xml:space="preserve">M</t>
  </si>
  <si>
    <t xml:space="preserve">2.2</t>
  </si>
  <si>
    <t xml:space="preserve">ALVENARIA DE EMBASAMENTO – FUNDAÇÃO</t>
  </si>
  <si>
    <t xml:space="preserve">2.2.1</t>
  </si>
  <si>
    <t xml:space="preserve">14.01.060</t>
  </si>
  <si>
    <t xml:space="preserve">Alvenaria de embasamento em bloco de concreto de 19 x 19 x 39 cm - classe A </t>
  </si>
  <si>
    <t xml:space="preserve">2.2.2</t>
  </si>
  <si>
    <t xml:space="preserve">32.17.010</t>
  </si>
  <si>
    <t xml:space="preserve">Impermeabilização em argamassa impermeável com aditivo hidrófugo</t>
  </si>
  <si>
    <t xml:space="preserve">2.2.3</t>
  </si>
  <si>
    <t xml:space="preserve">07.02.020</t>
  </si>
  <si>
    <t xml:space="preserve">Escavação mecanizada de valas ou cavas com profundidade de até 2 m</t>
  </si>
  <si>
    <t xml:space="preserve">2.2.4</t>
  </si>
  <si>
    <t xml:space="preserve">06.11.040</t>
  </si>
  <si>
    <t xml:space="preserve">Reaterro manual apiloado sem controle de compactação</t>
  </si>
  <si>
    <t xml:space="preserve">2.3</t>
  </si>
  <si>
    <t xml:space="preserve">INFRAESTRUTURA DE CONCRETO ARMADO</t>
  </si>
  <si>
    <t xml:space="preserve">2.3.1</t>
  </si>
  <si>
    <t xml:space="preserve">11.02.060</t>
  </si>
  <si>
    <t xml:space="preserve">Concreto usinado não estrutural mínimo 300 kg cimento / m³</t>
  </si>
  <si>
    <t xml:space="preserve">2.3.2</t>
  </si>
  <si>
    <t xml:space="preserve">11.16.020</t>
  </si>
  <si>
    <t xml:space="preserve">Lançamento, espalhamento e adensamento de concreto ou massa em lastro e/ou enchimento</t>
  </si>
  <si>
    <t xml:space="preserve">2.3.3</t>
  </si>
  <si>
    <t xml:space="preserve">10.01.060</t>
  </si>
  <si>
    <t xml:space="preserve">Armadura em barra de aço CA-60 (A ou B) fyk = 600 MPa</t>
  </si>
  <si>
    <t xml:space="preserve">KG</t>
  </si>
  <si>
    <t xml:space="preserve">2.3.4</t>
  </si>
  <si>
    <t xml:space="preserve">10.01.040</t>
  </si>
  <si>
    <t xml:space="preserve">Armadura em barra de aço CA-50 (A ou B) fyk = 500 MPa</t>
  </si>
  <si>
    <t xml:space="preserve">ALVENARIA</t>
  </si>
  <si>
    <t xml:space="preserve">3.1</t>
  </si>
  <si>
    <t xml:space="preserve">14.04.210</t>
  </si>
  <si>
    <t xml:space="preserve">Alvenaria de bloco cerâmico de vedação, uso revestido, de 14 cm</t>
  </si>
  <si>
    <t xml:space="preserve">3.2</t>
  </si>
  <si>
    <t xml:space="preserve">14.20.010</t>
  </si>
  <si>
    <t xml:space="preserve">Vergas, contravergas e pilaretes de concreto armado</t>
  </si>
  <si>
    <t xml:space="preserve">ESQUADRIAS</t>
  </si>
  <si>
    <t xml:space="preserve">4.1</t>
  </si>
  <si>
    <t xml:space="preserve">PORTAS EM ALUMÍNIO</t>
  </si>
  <si>
    <t xml:space="preserve">4.1.1</t>
  </si>
  <si>
    <t xml:space="preserve">25.02.310</t>
  </si>
  <si>
    <t xml:space="preserve">Porta de abrir em alumínio tipo lambri, sob medida – cor branca</t>
  </si>
  <si>
    <t xml:space="preserve">4.1.2</t>
  </si>
  <si>
    <t xml:space="preserve">25.02.240</t>
  </si>
  <si>
    <t xml:space="preserve">Porta em alumínio anodizado de correr, sob medida – bronze/preto</t>
  </si>
  <si>
    <t xml:space="preserve">4.2</t>
  </si>
  <si>
    <t xml:space="preserve">JANELAS EM ALUMÍNIO</t>
  </si>
  <si>
    <t xml:space="preserve">4.2.1</t>
  </si>
  <si>
    <t xml:space="preserve">25.01.070</t>
  </si>
  <si>
    <t xml:space="preserve">Caixilho em alumínio de correr com vidro, linha comercial </t>
  </si>
  <si>
    <t xml:space="preserve">4.3</t>
  </si>
  <si>
    <t xml:space="preserve">JANELAS – MAXIAR</t>
  </si>
  <si>
    <t xml:space="preserve">4.3.1</t>
  </si>
  <si>
    <t xml:space="preserve">25.01.060</t>
  </si>
  <si>
    <t xml:space="preserve">Caixilho em alumínio maxim-ar, sob medida</t>
  </si>
  <si>
    <t xml:space="preserve">4.3.2</t>
  </si>
  <si>
    <t xml:space="preserve">26.01.040</t>
  </si>
  <si>
    <t xml:space="preserve">Vidro liso transparente de 4 mm</t>
  </si>
  <si>
    <t xml:space="preserve">4.4</t>
  </si>
  <si>
    <t xml:space="preserve">PORTINHOLA DE ALUMÍNIO – ACESSO LATERAL COBERTURA</t>
  </si>
  <si>
    <t xml:space="preserve">4.4.1</t>
  </si>
  <si>
    <t xml:space="preserve">25.02.070</t>
  </si>
  <si>
    <t xml:space="preserve">Portinhola tipo veneziana em alumínio, linha comercial</t>
  </si>
  <si>
    <t xml:space="preserve">SUPERESTRUTURA DE CONCRETO ARMADO</t>
  </si>
  <si>
    <t xml:space="preserve">5.1</t>
  </si>
  <si>
    <t xml:space="preserve">ESTRUTURA DE CONCRETO – PILARES E VIGAS</t>
  </si>
  <si>
    <t xml:space="preserve">5.1.1</t>
  </si>
  <si>
    <t xml:space="preserve">09.02.020</t>
  </si>
  <si>
    <t xml:space="preserve">Forma plana em compensado para estrutura convencional</t>
  </si>
  <si>
    <t xml:space="preserve">5.1.2</t>
  </si>
  <si>
    <t xml:space="preserve">11.01.290</t>
  </si>
  <si>
    <t xml:space="preserve">Concreto usinado, fck = 25 MPa – para bombeamento</t>
  </si>
  <si>
    <t xml:space="preserve">5.1.3</t>
  </si>
  <si>
    <t xml:space="preserve">11.16.080</t>
  </si>
  <si>
    <t xml:space="preserve">Lançamento e adensamento de concreto ou massa por bombeamento</t>
  </si>
  <si>
    <t xml:space="preserve">5.1.4</t>
  </si>
  <si>
    <t xml:space="preserve">5.1.5</t>
  </si>
  <si>
    <t xml:space="preserve">5.2</t>
  </si>
  <si>
    <t xml:space="preserve">LAJE</t>
  </si>
  <si>
    <t xml:space="preserve">5.2.1</t>
  </si>
  <si>
    <t xml:space="preserve">13.01.130</t>
  </si>
  <si>
    <t xml:space="preserve">Laje pré-fabricada mista vigota treliçada/lajota cerâmica - LT 12 (8+4) e capa com concreto de 25 MPa</t>
  </si>
  <si>
    <t xml:space="preserve">5.2.2</t>
  </si>
  <si>
    <t xml:space="preserve">10.02.020</t>
  </si>
  <si>
    <t xml:space="preserve">Armadura em tela soldada de aço</t>
  </si>
  <si>
    <t xml:space="preserve">COBERTURA </t>
  </si>
  <si>
    <t xml:space="preserve">6.1</t>
  </si>
  <si>
    <t xml:space="preserve">TELHAMENTO</t>
  </si>
  <si>
    <t xml:space="preserve">6.1.1</t>
  </si>
  <si>
    <t xml:space="preserve">16.13.130</t>
  </si>
  <si>
    <t xml:space="preserve">Telhamento em chapa de aço com pintura poliéster, tipo sanduíche, espessura de 0,50mm, com poliestireno expandido</t>
  </si>
  <si>
    <t xml:space="preserve">6.1.2</t>
  </si>
  <si>
    <t xml:space="preserve">15.01.330</t>
  </si>
  <si>
    <t xml:space="preserve">Estrutura em terças para telhas perfil trapezoidal</t>
  </si>
  <si>
    <t xml:space="preserve">6.2</t>
  </si>
  <si>
    <t xml:space="preserve">RUFOS</t>
  </si>
  <si>
    <t xml:space="preserve">6.2.1</t>
  </si>
  <si>
    <t xml:space="preserve">16.33.022</t>
  </si>
  <si>
    <t xml:space="preserve">Calha, rufo, afins em chapa galvanizada n° 24 – corte 0,33 m</t>
  </si>
  <si>
    <t xml:space="preserve">6.2.2</t>
  </si>
  <si>
    <t xml:space="preserve">16.33.052</t>
  </si>
  <si>
    <t xml:space="preserve">Calha, rufo, afins em chapa galvanizada n° 24 – corte 0,50 m </t>
  </si>
  <si>
    <t xml:space="preserve">INSTALAÇÕES HIDRÁULICAS</t>
  </si>
  <si>
    <t xml:space="preserve">7.1</t>
  </si>
  <si>
    <t xml:space="preserve">ÁGUA FRIA – TUBOS E CONEXÕES</t>
  </si>
  <si>
    <t xml:space="preserve">7.1.1</t>
  </si>
  <si>
    <t xml:space="preserve">46.01.020</t>
  </si>
  <si>
    <t xml:space="preserve">Tubo de PVC rígido soldável marrom, DN= 25 mm, (3/4´), inclusive conexões</t>
  </si>
  <si>
    <t xml:space="preserve">7.1.2</t>
  </si>
  <si>
    <t xml:space="preserve">46.01.050</t>
  </si>
  <si>
    <t xml:space="preserve">Tubo de PVC rígido soldável marrom, DN= 50 mm, (1 1/2´), inclusive conexões</t>
  </si>
  <si>
    <t xml:space="preserve">7.2</t>
  </si>
  <si>
    <t xml:space="preserve">CAIXA D’ÁGUA</t>
  </si>
  <si>
    <t xml:space="preserve">7.2.1</t>
  </si>
  <si>
    <t xml:space="preserve">48.02.401</t>
  </si>
  <si>
    <t xml:space="preserve">Reservatório em polietileno com tampa de rosca – capacidade de 500 litros</t>
  </si>
  <si>
    <t xml:space="preserve">7.2.2</t>
  </si>
  <si>
    <t xml:space="preserve">48.05.010</t>
  </si>
  <si>
    <t xml:space="preserve">Torneira de boia, DN= 3/4´ </t>
  </si>
  <si>
    <t xml:space="preserve">7.3</t>
  </si>
  <si>
    <t xml:space="preserve">ESGOTO – TUBOS E CONEXÕES</t>
  </si>
  <si>
    <t xml:space="preserve">7.3.1</t>
  </si>
  <si>
    <t xml:space="preserve">46.02.050</t>
  </si>
  <si>
    <t xml:space="preserve">Tubo de PVC rígido branco, PxB com virola e anel de borracha, linha esgoto série normal, DN= 50 mm, inclusive conexões</t>
  </si>
  <si>
    <t xml:space="preserve">7.3.2</t>
  </si>
  <si>
    <t xml:space="preserve">46.02.070</t>
  </si>
  <si>
    <t xml:space="preserve">Tubo de PVC rígido branco, PxB com virola e anel de borracha, linha esgoto série normal, DN= 100 mm, inclusive conexões </t>
  </si>
  <si>
    <t xml:space="preserve">7.3.3</t>
  </si>
  <si>
    <t xml:space="preserve">46.02.060</t>
  </si>
  <si>
    <t xml:space="preserve">Tubo de PVC rígido branco, PxB com virola e anel de borracha, linha esgoto série normal, DN= 75 mm, inclusive conexões </t>
  </si>
  <si>
    <t xml:space="preserve">7.3.4</t>
  </si>
  <si>
    <t xml:space="preserve">49.08.250</t>
  </si>
  <si>
    <t xml:space="preserve">Caixa de areia em PVC, diâmetro nominal de 100 mm </t>
  </si>
  <si>
    <t xml:space="preserve">7.4</t>
  </si>
  <si>
    <t xml:space="preserve">CAIXA E RALOS</t>
  </si>
  <si>
    <t xml:space="preserve">7.4.1</t>
  </si>
  <si>
    <t xml:space="preserve">49.03.020</t>
  </si>
  <si>
    <t xml:space="preserve">Caixa de gordura em alvenaria, 600 x 600 x 600 mm </t>
  </si>
  <si>
    <t xml:space="preserve">7.4.2</t>
  </si>
  <si>
    <t xml:space="preserve">49.01.020</t>
  </si>
  <si>
    <t xml:space="preserve">Caixa sifonada de PVC rígido de 100 x 150 x 50 mm, com grelha</t>
  </si>
  <si>
    <t xml:space="preserve">7.5</t>
  </si>
  <si>
    <t xml:space="preserve">LOUÇAS, METAIS E ACESSÓRIOS</t>
  </si>
  <si>
    <t xml:space="preserve">7.5.1</t>
  </si>
  <si>
    <t xml:space="preserve">SINAPI</t>
  </si>
  <si>
    <t xml:space="preserve">vaso sanitario sifonado convencional com louça branca - fornecimento e instalação. af_10/2016</t>
  </si>
  <si>
    <t xml:space="preserve">7.5.2</t>
  </si>
  <si>
    <t xml:space="preserve">válvula de descarga metálica, base 1 1/2 ", acabamento metalico cromado - fornecimento e instalação. af_01/2019</t>
  </si>
  <si>
    <t xml:space="preserve">7.5.3</t>
  </si>
  <si>
    <t xml:space="preserve">44.01.240</t>
  </si>
  <si>
    <t xml:space="preserve">Lavatório em louça com coluna suspensa</t>
  </si>
  <si>
    <t xml:space="preserve">7.5.4</t>
  </si>
  <si>
    <t xml:space="preserve">44.03.050</t>
  </si>
  <si>
    <t xml:space="preserve">Dispenser papel higiênico em ABS para rolão 300 / 600 m, com visor</t>
  </si>
  <si>
    <t xml:space="preserve">7.5.5</t>
  </si>
  <si>
    <t xml:space="preserve">26.04.010</t>
  </si>
  <si>
    <t xml:space="preserve">Espelho em vidro cristal liso, espessura de 4 mm</t>
  </si>
  <si>
    <t xml:space="preserve">7.5.6</t>
  </si>
  <si>
    <t xml:space="preserve">44.06.400</t>
  </si>
  <si>
    <t xml:space="preserve">Cuba em aço inoxidável simples de 500x400x300mm</t>
  </si>
  <si>
    <t xml:space="preserve">7.5.7</t>
  </si>
  <si>
    <t xml:space="preserve">registro de pressão bruto, latão, roscável, 3/4", com acabamento e canopla cromados. fornecido e instalado em ramal de água. af_12/2014</t>
  </si>
  <si>
    <t xml:space="preserve">7.5.8</t>
  </si>
  <si>
    <t xml:space="preserve">44.03.645</t>
  </si>
  <si>
    <t xml:space="preserve">Torneira de mesa automática, acionamento hidromecânico, em latão
cromado, DN= 1/2´ou 3/4´</t>
  </si>
  <si>
    <t xml:space="preserve">7.5.9</t>
  </si>
  <si>
    <t xml:space="preserve">sifão do tipo flexível em pvc  - fornecimento e instalação.</t>
  </si>
  <si>
    <t xml:space="preserve">7.5.10</t>
  </si>
  <si>
    <t xml:space="preserve">30.01.030</t>
  </si>
  <si>
    <t xml:space="preserve">Barra de apoio reta, para pessoas com mobilidade reduzida, em tubo de aço inoxidável de 1 1/2´x 800 mm</t>
  </si>
  <si>
    <t xml:space="preserve">INSTALAÇÕES ELÉTRICAS </t>
  </si>
  <si>
    <t xml:space="preserve">8.1</t>
  </si>
  <si>
    <t xml:space="preserve">DISTRIBUIÇÃO</t>
  </si>
  <si>
    <t xml:space="preserve">8.1.1</t>
  </si>
  <si>
    <t xml:space="preserve">QUADRO DE DISTRIBUIÇÃO DE ENERGIA EM CHAPA DE AÇO GALVANIZADO, DE EMBUTIR, COM BARRAMENTO TRIFÁSICO, PARA 30 DISJUNTORES DIN 150A - FORNECIMENTO E INSTALAÇÃO. AF_10/2020</t>
  </si>
  <si>
    <t xml:space="preserve">8.1.2</t>
  </si>
  <si>
    <t xml:space="preserve">DISJUNTOR BIPOLAR TIPO DIN, CORRENTE NOMINAL DE 10A - FORNECIMENTO E INSTALAÇÃO. AF_10/2020</t>
  </si>
  <si>
    <t xml:space="preserve">8.1.3</t>
  </si>
  <si>
    <t xml:space="preserve">DISJUNTOR BIPOLAR TIPO DIN, CORRENTE NOMINAL DE 16A - FORNECIMENTO E INSTALAÇÃO. AF_10/2020</t>
  </si>
  <si>
    <t xml:space="preserve">8.1.4</t>
  </si>
  <si>
    <t xml:space="preserve">37.17.090</t>
  </si>
  <si>
    <t xml:space="preserve">Dispositivo diferencial residual de 63 A x 30 mA ‐ 4 polos</t>
  </si>
  <si>
    <t xml:space="preserve">8.1.5</t>
  </si>
  <si>
    <t xml:space="preserve">ELETRODUTO FLEXÍVEL CORRUGADO, PVC, DN 32 MM (1"), PARA CIRCUITOS TERMINAIS, INSTALADO EM PAREDE - FORNECIMENTO E INSTALAÇÃO. AF_12/2015 </t>
  </si>
  <si>
    <t xml:space="preserve">8.1.6</t>
  </si>
  <si>
    <t xml:space="preserve">ELETRODUTO FLEXÍVEL CORRUGADO, PEAD, DN 40 MM (1 1/4"), PARA CIRCUITOS TERMINAIS, INSTALADO EM LAJE - FORNECIMENTO E INSTALAÇÃO. AF_12/2015</t>
  </si>
  <si>
    <t xml:space="preserve">8.1.7</t>
  </si>
  <si>
    <t xml:space="preserve">43.07.330 </t>
  </si>
  <si>
    <t xml:space="preserve">Ar condicionado a frio, tipo split parede com capacidade de 12.000 BTU/h </t>
  </si>
  <si>
    <t xml:space="preserve">CJ</t>
  </si>
  <si>
    <t xml:space="preserve">8.1.8</t>
  </si>
  <si>
    <t xml:space="preserve">43.07.340</t>
  </si>
  <si>
    <t xml:space="preserve">Ar condicionado a frio, tipo split parede com capacidade de 18.000 BTU/h </t>
  </si>
  <si>
    <t xml:space="preserve">8.1.9</t>
  </si>
  <si>
    <t xml:space="preserve">43.20.130</t>
  </si>
  <si>
    <t xml:space="preserve">Caixa de passagem para condicionamento de ar tipo Split, com saída
de dreno único na vertical ‐ 39 x 22 x 6 cm</t>
  </si>
  <si>
    <t xml:space="preserve">8.1.10</t>
  </si>
  <si>
    <t xml:space="preserve">cabo de cobre flexível isolado, 1,5 mm², anti-chama 450/750 v, para circuitos terminais - fornecimento e instalação</t>
  </si>
  <si>
    <t xml:space="preserve">8.1.11</t>
  </si>
  <si>
    <t xml:space="preserve">cabo de cobre flexível isolado, 2,5 mm², anti-chama 450/750 v, para circuitos terminais - fornecimento e instalação</t>
  </si>
  <si>
    <t xml:space="preserve">8.1.12</t>
  </si>
  <si>
    <t xml:space="preserve">cabo de cobre flexível isolado, 4 mm²,anti-chama 450/750 v , para circuitos terminais - fornecimento e instalação. </t>
  </si>
  <si>
    <t xml:space="preserve">8.2</t>
  </si>
  <si>
    <t xml:space="preserve">TOMADAS E LUMINÁRIAS</t>
  </si>
  <si>
    <t xml:space="preserve">8.2.1</t>
  </si>
  <si>
    <t xml:space="preserve">40.07.010</t>
  </si>
  <si>
    <t xml:space="preserve">Caixa em PVC de 4´ x 2´ </t>
  </si>
  <si>
    <t xml:space="preserve">8.2.2</t>
  </si>
  <si>
    <t xml:space="preserve">40.04.470 </t>
  </si>
  <si>
    <t xml:space="preserve">Conjunto 2 tomadas 2P+T de 10 A, completo </t>
  </si>
  <si>
    <t xml:space="preserve">8.2.3</t>
  </si>
  <si>
    <t xml:space="preserve">40.04.480 </t>
  </si>
  <si>
    <t xml:space="preserve">Conjunto 1 interruptor simples e 1 tomada 2P+T de 10 A, completo </t>
  </si>
  <si>
    <t xml:space="preserve">8.2.4</t>
  </si>
  <si>
    <t xml:space="preserve">40.04.450 </t>
  </si>
  <si>
    <t xml:space="preserve">Tomada 2P+T de 10 A - 250 V, completa</t>
  </si>
  <si>
    <t xml:space="preserve">8.2.5</t>
  </si>
  <si>
    <t xml:space="preserve">LUMINÁRIA TIPO PLAFON CIRCULAR, DE SOBREPOR, COM LED DE 12/13 W - FORNECIMENTO E INSTALAÇÃO. AF_03/2022</t>
  </si>
  <si>
    <t xml:space="preserve">8.2.6</t>
  </si>
  <si>
    <t xml:space="preserve">LUMINÁRIA DE EMERGÊNCIA, COM 30 LÂMPADAS LED DE 2 W, SEM REATOR - FORNECIMENTO E INSTALAÇÃO. AF_02/2020</t>
  </si>
  <si>
    <t xml:space="preserve">REVESTIMENTOS</t>
  </si>
  <si>
    <t xml:space="preserve">9.1</t>
  </si>
  <si>
    <t xml:space="preserve">PISO INTERNO</t>
  </si>
  <si>
    <t xml:space="preserve">9.1.1</t>
  </si>
  <si>
    <t xml:space="preserve">11.18.040</t>
  </si>
  <si>
    <t xml:space="preserve">Lastro de pedra britada</t>
  </si>
  <si>
    <t xml:space="preserve">9.1.2</t>
  </si>
  <si>
    <t xml:space="preserve">9.1.3</t>
  </si>
  <si>
    <t xml:space="preserve">9.1.4</t>
  </si>
  <si>
    <t xml:space="preserve">9.1.5</t>
  </si>
  <si>
    <t xml:space="preserve">18.08.090</t>
  </si>
  <si>
    <t xml:space="preserve">Revestimento em porcelanato esmaltado acetinado para área interna e ambiente com acesso ao exterior, grupo de absorção BIa, resistência química B, assentado com argamassa colante industrializada, rejuntado</t>
  </si>
  <si>
    <t xml:space="preserve">9.1.6</t>
  </si>
  <si>
    <t xml:space="preserve">17.01.020</t>
  </si>
  <si>
    <t xml:space="preserve">Argamassa de regularização e/ou proteção</t>
  </si>
  <si>
    <t xml:space="preserve">9.1.7</t>
  </si>
  <si>
    <t xml:space="preserve">18.08.100</t>
  </si>
  <si>
    <t xml:space="preserve">Rodapé em porcelanato esmaltado acetinado para área interna e ambiente com acesso ao exterior, grupo de absorção BIa, resistência química B, assentado com argamassa colante industrializada, rejuntado </t>
  </si>
  <si>
    <t xml:space="preserve">9.1.8</t>
  </si>
  <si>
    <t xml:space="preserve">30.04.010</t>
  </si>
  <si>
    <t xml:space="preserve">Revestimento em borracha sintética colorida de 5 mm, para sinalização tátil de alerta / direcional – colado</t>
  </si>
  <si>
    <t xml:space="preserve">9.2</t>
  </si>
  <si>
    <t xml:space="preserve">PISO EXTERNO</t>
  </si>
  <si>
    <t xml:space="preserve">9.2.1</t>
  </si>
  <si>
    <t xml:space="preserve">9.2.2</t>
  </si>
  <si>
    <t xml:space="preserve">9.2.3</t>
  </si>
  <si>
    <t xml:space="preserve">09.02.120</t>
  </si>
  <si>
    <t xml:space="preserve">Forma ripada de 5 cm na vertical</t>
  </si>
  <si>
    <t xml:space="preserve">9.2.4</t>
  </si>
  <si>
    <t xml:space="preserve">9.2.5</t>
  </si>
  <si>
    <t xml:space="preserve">9.2.6</t>
  </si>
  <si>
    <t xml:space="preserve">32.17.030</t>
  </si>
  <si>
    <t xml:space="preserve">Impermeabilização em argamassa polimérica para umidade e água de percolação</t>
  </si>
  <si>
    <t xml:space="preserve">9.3</t>
  </si>
  <si>
    <t xml:space="preserve">PAREDE INTERNA E EXTERNA</t>
  </si>
  <si>
    <t xml:space="preserve">9.3.1</t>
  </si>
  <si>
    <t xml:space="preserve">17.02.020</t>
  </si>
  <si>
    <t xml:space="preserve">Chapisco</t>
  </si>
  <si>
    <t xml:space="preserve">9.3.2</t>
  </si>
  <si>
    <t xml:space="preserve">17.02.120</t>
  </si>
  <si>
    <t xml:space="preserve">Emboço comum</t>
  </si>
  <si>
    <t xml:space="preserve">9.3.3</t>
  </si>
  <si>
    <t xml:space="preserve">17.02.220</t>
  </si>
  <si>
    <t xml:space="preserve">Reboco</t>
  </si>
  <si>
    <t xml:space="preserve">9.3.4</t>
  </si>
  <si>
    <t xml:space="preserve">18.11.042</t>
  </si>
  <si>
    <t xml:space="preserve">Revestimento em placa cerâmica esmaltada de 20x20 cm, tipo monocolor, assentado e rejuntado com argamassa industrializada</t>
  </si>
  <si>
    <t xml:space="preserve">9.4</t>
  </si>
  <si>
    <t xml:space="preserve">TETO</t>
  </si>
  <si>
    <t xml:space="preserve">9.4.1</t>
  </si>
  <si>
    <t xml:space="preserve">9.4.2</t>
  </si>
  <si>
    <t xml:space="preserve">9.4.3</t>
  </si>
  <si>
    <t xml:space="preserve">9.5</t>
  </si>
  <si>
    <t xml:space="preserve">PINTURA INTERNA</t>
  </si>
  <si>
    <t xml:space="preserve">9.5.1</t>
  </si>
  <si>
    <t xml:space="preserve">33.10.020</t>
  </si>
  <si>
    <t xml:space="preserve">Tinta látex em massa, inclusive preparo</t>
  </si>
  <si>
    <t xml:space="preserve">9.6</t>
  </si>
  <si>
    <t xml:space="preserve">PINTURA EXTERNA</t>
  </si>
  <si>
    <t xml:space="preserve">9.6.1</t>
  </si>
  <si>
    <t xml:space="preserve">33.10.050</t>
  </si>
  <si>
    <t xml:space="preserve">Tinta acrílica em massa, inclusive preparo</t>
  </si>
  <si>
    <t xml:space="preserve">9.7</t>
  </si>
  <si>
    <t xml:space="preserve">SOLEIRA</t>
  </si>
  <si>
    <t xml:space="preserve">9.7.1</t>
  </si>
  <si>
    <t xml:space="preserve">19.01.062</t>
  </si>
  <si>
    <t xml:space="preserve">Peitoril e/ou soleira em granito, espessura de 2 cm e largura até 20 cm, acabamento polido</t>
  </si>
  <si>
    <t xml:space="preserve">9.7.2</t>
  </si>
  <si>
    <t xml:space="preserve">44.02.062</t>
  </si>
  <si>
    <t xml:space="preserve">Tampo/bancada em granito, com frontão, espessura de 2 cm, acabamento polido</t>
  </si>
  <si>
    <t xml:space="preserve">FECHAMENTO</t>
  </si>
  <si>
    <t xml:space="preserve">10.1</t>
  </si>
  <si>
    <t xml:space="preserve">34.05.080</t>
  </si>
  <si>
    <t xml:space="preserve">Alambrado em tela de aço galvanizado de 2´, montantes metálicos e arame farpado, até 4,00 m de altura</t>
  </si>
  <si>
    <t xml:space="preserve">10.2</t>
  </si>
  <si>
    <t xml:space="preserve">14.30.110</t>
  </si>
  <si>
    <t xml:space="preserve">Divisória cega tipo naval, acabamento em laminado fenólico melamínico, com espessura de 3,5 cm</t>
  </si>
  <si>
    <t xml:space="preserve">10.3</t>
  </si>
  <si>
    <t xml:space="preserve">14.28.030 </t>
  </si>
  <si>
    <t xml:space="preserve">Elemento vazado em concreto, tipo quadriculado de 39 x 39 x 10 cm</t>
  </si>
  <si>
    <t xml:space="preserve">LIMPEZA FINAL</t>
  </si>
  <si>
    <t xml:space="preserve">11.1</t>
  </si>
  <si>
    <t xml:space="preserve">55.01.020</t>
  </si>
  <si>
    <t xml:space="preserve">Limpeza final da obra</t>
  </si>
  <si>
    <t xml:space="preserve">Espírito Santo do Pinhal/SP </t>
  </si>
  <si>
    <t xml:space="preserve">Responsável Técnico: Elias Mauch Ferreira</t>
  </si>
  <si>
    <t xml:space="preserve">Eng. Civil – CREA/SP: 5070383571</t>
  </si>
  <si>
    <t xml:space="preserve">CRONOGRAMA FÍSICO-FINANCEIRO</t>
  </si>
  <si>
    <t xml:space="preserve">VALOR</t>
  </si>
  <si>
    <t xml:space="preserve">1° MÊS</t>
  </si>
  <si>
    <t xml:space="preserve">2° MÊS</t>
  </si>
  <si>
    <t xml:space="preserve">3° MÊS</t>
  </si>
  <si>
    <t xml:space="preserve">4° MÊS</t>
  </si>
  <si>
    <t xml:space="preserve">VALOR MENSAL DA OBRA</t>
  </si>
  <si>
    <t xml:space="preserve">VALOR ACUMULADO</t>
  </si>
  <si>
    <t xml:space="preserve">COMPOSIÇÕES DE CUSTO UNITÁRIO, COTAÇÕES DE PREÇOS E SERVIÇOS</t>
  </si>
  <si>
    <t xml:space="preserve">RUA HENRIQUE COPPI, Nº 200 - CENTRO – EDIFÍCIO DO  PAÇO MUNICIPAL - CEP 13840-061</t>
  </si>
  <si>
    <t xml:space="preserve">MOGI GUAÇU - SP – CNPJ Nº 45.301.264/0001-13 – INSCRIÇÃO ESTADUAL: ISENTA</t>
  </si>
  <si>
    <t xml:space="preserve">FONTE</t>
  </si>
  <si>
    <t xml:space="preserve">CÓDIGO</t>
  </si>
  <si>
    <t xml:space="preserve">DESCRIÇÃO DO SERVIÇO OU FORNECIMENTO</t>
  </si>
  <si>
    <t xml:space="preserve">UNIDADE</t>
  </si>
  <si>
    <t xml:space="preserve">QUANTIDADE</t>
  </si>
  <si>
    <t xml:space="preserve">DATA BASE</t>
  </si>
  <si>
    <t xml:space="preserve">TOTAL</t>
  </si>
  <si>
    <t xml:space="preserve">COMP-01</t>
  </si>
  <si>
    <t xml:space="preserve">BANCO DE MADEIRA - 1,60M</t>
  </si>
  <si>
    <t xml:space="preserve">Custo Total:</t>
  </si>
  <si>
    <t xml:space="preserve">CPOS</t>
  </si>
  <si>
    <t xml:space="preserve">N.03.000.050494 </t>
  </si>
  <si>
    <t xml:space="preserve">Banco de Madeira tipos Cavalinhos ou Tamanduá, com réguas em madeira envernizada de 1,60m e pés em ferro fundido pintado</t>
  </si>
  <si>
    <t xml:space="preserve">Unid.</t>
  </si>
  <si>
    <t xml:space="preserve">COMP-02</t>
  </si>
  <si>
    <t xml:space="preserve">LIXEIRA DUPLA COM CAPACIDADE VOLUMÉTRICA DE 60L</t>
  </si>
  <si>
    <t xml:space="preserve">35.20.050 </t>
  </si>
  <si>
    <t xml:space="preserve">Conjunto de 4 lixeiras para coleta seletiva, com tampa basculante,
capacidade 50 litros</t>
  </si>
  <si>
    <t xml:space="preserve">COMP-03</t>
  </si>
  <si>
    <t xml:space="preserve">RODAÇÃO DIAGONAL DUPLO</t>
  </si>
  <si>
    <t xml:space="preserve">COTAÇÃO</t>
  </si>
  <si>
    <t xml:space="preserve">COT-01</t>
  </si>
  <si>
    <t xml:space="preserve">COMP-04</t>
  </si>
  <si>
    <t xml:space="preserve">ESQUI DUPLO</t>
  </si>
  <si>
    <t xml:space="preserve">COT-02</t>
  </si>
  <si>
    <t xml:space="preserve">COMP-05</t>
  </si>
  <si>
    <t xml:space="preserve">SIMULADOR DE CAVALGADA DUPLO</t>
  </si>
  <si>
    <t xml:space="preserve">COT-03</t>
  </si>
  <si>
    <t xml:space="preserve">COMP-06</t>
  </si>
  <si>
    <t xml:space="preserve">RODAÇÃO VERTICAL DUPLO</t>
  </si>
  <si>
    <t xml:space="preserve">COT-04</t>
  </si>
  <si>
    <t xml:space="preserve">COMP-07</t>
  </si>
  <si>
    <t xml:space="preserve">ALONGADOR COM TRÊS ALTURAS</t>
  </si>
  <si>
    <t xml:space="preserve">COT-05</t>
  </si>
  <si>
    <t xml:space="preserve">COMP-08</t>
  </si>
  <si>
    <t xml:space="preserve">SIMULADOR DE REMO </t>
  </si>
  <si>
    <t xml:space="preserve">COT-06</t>
  </si>
  <si>
    <t xml:space="preserve">COMP-09</t>
  </si>
  <si>
    <t xml:space="preserve">PRESSÃO DE PERNAS DUPLO </t>
  </si>
  <si>
    <t xml:space="preserve">COT-07</t>
  </si>
  <si>
    <t xml:space="preserve">COMP-10</t>
  </si>
  <si>
    <t xml:space="preserve">SURF DUPLO</t>
  </si>
  <si>
    <t xml:space="preserve">COT-08</t>
  </si>
  <si>
    <t xml:space="preserve">COMP-11</t>
  </si>
  <si>
    <t xml:space="preserve">SIMULADOR DE CAMINHADA DUPLO</t>
  </si>
  <si>
    <t xml:space="preserve">COT-09</t>
  </si>
  <si>
    <t xml:space="preserve">COMP-12</t>
  </si>
  <si>
    <t xml:space="preserve">PLACA ORIENTATIVA</t>
  </si>
  <si>
    <t xml:space="preserve">COT-10</t>
  </si>
  <si>
    <t xml:space="preserve">COMP-13</t>
  </si>
  <si>
    <t xml:space="preserve">BALANÇO</t>
  </si>
  <si>
    <t xml:space="preserve">COT-11</t>
  </si>
  <si>
    <t xml:space="preserve">COMP-14</t>
  </si>
  <si>
    <t xml:space="preserve">BALANÇO ADAPTADO FRONTAL</t>
  </si>
  <si>
    <t xml:space="preserve">COT-12</t>
  </si>
  <si>
    <t xml:space="preserve">COMP-15</t>
  </si>
  <si>
    <t xml:space="preserve">CASA DO TARZAN</t>
  </si>
  <si>
    <t xml:space="preserve">COT-13</t>
  </si>
  <si>
    <t xml:space="preserve">COMP-16</t>
  </si>
  <si>
    <t xml:space="preserve">GIRA GIRA</t>
  </si>
  <si>
    <t xml:space="preserve">COT-14</t>
  </si>
  <si>
    <t xml:space="preserve">COMP-17</t>
  </si>
  <si>
    <t xml:space="preserve">GANGORRA</t>
  </si>
  <si>
    <t xml:space="preserve">COT-15</t>
  </si>
  <si>
    <t xml:space="preserve">COMP-18</t>
  </si>
  <si>
    <t xml:space="preserve">GANGORRA ADAPTADA</t>
  </si>
  <si>
    <t xml:space="preserve">COT-16</t>
  </si>
  <si>
    <t xml:space="preserve">Mogi Guaçu/SP </t>
  </si>
  <si>
    <t xml:space="preserve">Secretário de Obras e Mobilidade</t>
  </si>
  <si>
    <t xml:space="preserve">José Antônio Ortiz Bueno</t>
  </si>
  <si>
    <t xml:space="preserve">ART: 28027230211659940</t>
  </si>
  <si>
    <t xml:space="preserve">DESCRIÇÃO - (COTAÇÃO DE EQUIPAMENTOS - ACADEMIA AO AR LIVRE)</t>
  </si>
  <si>
    <t xml:space="preserve">QUADRO RESUMO DO ORÇAMENTO - EQUIPAMENTOS (ACADEMIA AO AR LIVRE)</t>
  </si>
  <si>
    <t xml:space="preserve">COT - 01</t>
  </si>
  <si>
    <t xml:space="preserve">COT - 02</t>
  </si>
  <si>
    <t xml:space="preserve">COT - 03</t>
  </si>
  <si>
    <t xml:space="preserve">COT - 04</t>
  </si>
  <si>
    <t xml:space="preserve">COT - 05</t>
  </si>
  <si>
    <t xml:space="preserve">COT - 06</t>
  </si>
  <si>
    <t xml:space="preserve">SIMULADOR DE REMO</t>
  </si>
  <si>
    <t xml:space="preserve">COT - 07</t>
  </si>
  <si>
    <t xml:space="preserve">PRESSÃO DE PERNAS</t>
  </si>
  <si>
    <t xml:space="preserve">COT - 08</t>
  </si>
  <si>
    <t xml:space="preserve">COT - 09</t>
  </si>
  <si>
    <t xml:space="preserve">COT - 10</t>
  </si>
  <si>
    <t xml:space="preserve">CUSTO TOTAL:</t>
  </si>
  <si>
    <t xml:space="preserve">DESCRIÇÃO DA EMPRESA</t>
  </si>
  <si>
    <t xml:space="preserve">E-MAIL</t>
  </si>
  <si>
    <t xml:space="preserve">VALOR MÉDIO</t>
  </si>
  <si>
    <t xml:space="preserve">RODAÇÃO DIAGONAL DUPLO - (A)</t>
  </si>
  <si>
    <t xml:space="preserve">CNPJ</t>
  </si>
  <si>
    <t xml:space="preserve">EMPRESA FORNECEDORA</t>
  </si>
  <si>
    <t xml:space="preserve">EMAIL CONTATADO</t>
  </si>
  <si>
    <t xml:space="preserve">VALIDADE PROPOSTA</t>
  </si>
  <si>
    <t xml:space="preserve">PREÇO COTADO</t>
  </si>
  <si>
    <t xml:space="preserve">20.380.959/0001-07</t>
  </si>
  <si>
    <t xml:space="preserve">Life Equipamentos Esportivos e Recreação</t>
  </si>
  <si>
    <t xml:space="preserve">vendas@lifeequipamentos.com.br</t>
  </si>
  <si>
    <t xml:space="preserve">10.555.495/0001-79</t>
  </si>
  <si>
    <t xml:space="preserve">Milla Equipamentos Metalúrgicos Eireli - EPP</t>
  </si>
  <si>
    <t xml:space="preserve">compras@milla.net.br</t>
  </si>
  <si>
    <t xml:space="preserve">14.084.647/0001-53</t>
  </si>
  <si>
    <t xml:space="preserve">Selva Equipamentos</t>
  </si>
  <si>
    <t xml:space="preserve">comercial@selvaequipamentos.com.br</t>
  </si>
  <si>
    <t xml:space="preserve">ESQUI DUPLO - (B)</t>
  </si>
  <si>
    <t xml:space="preserve">SIMULADOR DE CAVALGADA DUPLO - (C)</t>
  </si>
  <si>
    <t xml:space="preserve">RODAÇÃO VERTICAL DUPLO - (D)</t>
  </si>
  <si>
    <t xml:space="preserve">ALONGADOR COM TRÊS ALTURAS - (E)</t>
  </si>
  <si>
    <t xml:space="preserve">SIMULADOR DE REMO - (F)</t>
  </si>
  <si>
    <t xml:space="preserve">PRESSÃO DE PERNAS DUPLO - (G)</t>
  </si>
  <si>
    <t xml:space="preserve">SURF DUPLO - (H)</t>
  </si>
  <si>
    <t xml:space="preserve">SIMULADOR DE CAMINHADA DUPLO - (I)</t>
  </si>
  <si>
    <t xml:space="preserve">PLACA ORIENTATIVA - (J)</t>
  </si>
  <si>
    <t xml:space="preserve">DESCRIÇÃO DO FORNECIMENTO</t>
  </si>
  <si>
    <t xml:space="preserve">Sinapi - Insumos</t>
  </si>
  <si>
    <t xml:space="preserve">Unid</t>
  </si>
  <si>
    <t xml:space="preserve">00042438</t>
  </si>
  <si>
    <t xml:space="preserve">Placa Orientativa Sobre Exercícios, 2,00 x 1,00 M, Em tubo de Aço Carbono, Pintura no Processo Eletrostático - Para Academia ao Ar Livre / Academia da Terceira Idade - ATI</t>
  </si>
  <si>
    <t xml:space="preserve">Setembro - 2021</t>
  </si>
  <si>
    <t xml:space="preserve">Daniel Rossi</t>
  </si>
  <si>
    <t xml:space="preserve">DESCRIÇÃO - (COTAÇÃO DE EQUIPAMENTOS - PLAYGROUND)</t>
  </si>
  <si>
    <t xml:space="preserve">QUADRO RESUMO DO ORÇAMENTO - EQUIPAMENTOS (PLAYGROND)</t>
  </si>
  <si>
    <t xml:space="preserve">COT - 11</t>
  </si>
  <si>
    <t xml:space="preserve">BALANÇO - (1)</t>
  </si>
  <si>
    <t xml:space="preserve">COT - 12</t>
  </si>
  <si>
    <t xml:space="preserve">BALANÇO ADAPTADO FRONTAL - (2)</t>
  </si>
  <si>
    <t xml:space="preserve">COT - 13</t>
  </si>
  <si>
    <t xml:space="preserve">CASA DO TARZAN - (3)</t>
  </si>
  <si>
    <t xml:space="preserve">COT - 14</t>
  </si>
  <si>
    <t xml:space="preserve">GIRA GIRA - (4)</t>
  </si>
  <si>
    <t xml:space="preserve">COT - 15</t>
  </si>
  <si>
    <t xml:space="preserve">GANGORRA - (5)</t>
  </si>
  <si>
    <t xml:space="preserve">COT - 16</t>
  </si>
  <si>
    <t xml:space="preserve">GANGORRA ADAPTADA - (6)</t>
  </si>
  <si>
    <t xml:space="preserve">DATABASE</t>
  </si>
  <si>
    <t xml:space="preserve">PREÇO </t>
  </si>
  <si>
    <t xml:space="preserve">Americanas</t>
  </si>
  <si>
    <t xml:space="preserve">Submarino</t>
  </si>
  <si>
    <t xml:space="preserve">Mercado Livre</t>
  </si>
  <si>
    <t xml:space="preserve">DedoBrinquedo</t>
  </si>
  <si>
    <t xml:space="preserve">Magazine Luiza</t>
  </si>
  <si>
    <t xml:space="preserve">MadeiraMadeira</t>
  </si>
  <si>
    <t xml:space="preserve">Magazine</t>
  </si>
  <si>
    <t xml:space="preserve">Bela Vista</t>
  </si>
  <si>
    <t xml:space="preserve">ShopTime</t>
  </si>
  <si>
    <t xml:space="preserve">Alegria Brinquedos</t>
  </si>
  <si>
    <t xml:space="preserve">COMPOSIÇÃO DE BENEFÍCIOS E DESPESAS INDIRETAS ( BDI )</t>
  </si>
  <si>
    <t xml:space="preserve">Identifique o tipo de obra:</t>
  </si>
  <si>
    <t xml:space="preserve">Construção de edifícios:</t>
  </si>
  <si>
    <t xml:space="preserve">Informe a base de cálculo do ISSQN.</t>
  </si>
  <si>
    <t xml:space="preserve">Construção de rodovias e ferrovias:</t>
  </si>
  <si>
    <t xml:space="preserve">X</t>
  </si>
  <si>
    <t xml:space="preserve">Sobre os serviços.</t>
  </si>
  <si>
    <t xml:space="preserve">Construção de redes de abastecimento de água, coleta de esgoto e construções correlatas:</t>
  </si>
  <si>
    <t xml:space="preserve">Sobre a mão-de-obra.</t>
  </si>
  <si>
    <t xml:space="preserve">Construção e manutenção de estações e redes de distribuição de energia elétrica:</t>
  </si>
  <si>
    <t xml:space="preserve">Informe a ocorrência da DESONERAÇÃO da folha de pagamento. Lei 13.161/2015.</t>
  </si>
  <si>
    <t xml:space="preserve">Obras portuárias, marítimas e fluviais:</t>
  </si>
  <si>
    <t xml:space="preserve">x</t>
  </si>
  <si>
    <t xml:space="preserve">SEM Desoneração.</t>
  </si>
  <si>
    <t xml:space="preserve">Fornecimento de materiais e equipamentos:</t>
  </si>
  <si>
    <t xml:space="preserve">COM Desoneração.</t>
  </si>
  <si>
    <t xml:space="preserve">Intervalo de admissibilidade</t>
  </si>
  <si>
    <t xml:space="preserve">Item Componente do BDI</t>
  </si>
  <si>
    <t xml:space="preserve">1º Quartil</t>
  </si>
  <si>
    <t xml:space="preserve">Médio</t>
  </si>
  <si>
    <t xml:space="preserve">3º Quartil</t>
  </si>
  <si>
    <t xml:space="preserve">Valores Propostos</t>
  </si>
  <si>
    <r>
      <rPr>
        <b val="true"/>
        <sz val="12"/>
        <rFont val="Arial"/>
        <family val="2"/>
        <charset val="1"/>
      </rPr>
      <t xml:space="preserve">A</t>
    </r>
    <r>
      <rPr>
        <sz val="12"/>
        <rFont val="Arial"/>
        <family val="2"/>
        <charset val="1"/>
      </rPr>
      <t xml:space="preserve">dministração </t>
    </r>
    <r>
      <rPr>
        <b val="true"/>
        <sz val="12"/>
        <rFont val="Arial"/>
        <family val="2"/>
        <charset val="1"/>
      </rPr>
      <t xml:space="preserve">C</t>
    </r>
    <r>
      <rPr>
        <sz val="12"/>
        <rFont val="Arial"/>
        <family val="2"/>
        <charset val="1"/>
      </rPr>
      <t xml:space="preserve">entral</t>
    </r>
  </si>
  <si>
    <r>
      <rPr>
        <b val="true"/>
        <sz val="12"/>
        <rFont val="Arial"/>
        <family val="2"/>
        <charset val="1"/>
      </rPr>
      <t xml:space="preserve">S</t>
    </r>
    <r>
      <rPr>
        <sz val="12"/>
        <rFont val="Arial"/>
        <family val="2"/>
        <charset val="1"/>
      </rPr>
      <t xml:space="preserve">eguro e </t>
    </r>
    <r>
      <rPr>
        <b val="true"/>
        <sz val="12"/>
        <rFont val="Arial"/>
        <family val="2"/>
        <charset val="1"/>
      </rPr>
      <t xml:space="preserve">G</t>
    </r>
    <r>
      <rPr>
        <sz val="12"/>
        <rFont val="Arial"/>
        <family val="2"/>
        <charset val="1"/>
      </rPr>
      <t xml:space="preserve">arantia</t>
    </r>
  </si>
  <si>
    <r>
      <rPr>
        <b val="true"/>
        <sz val="12"/>
        <rFont val="Arial"/>
        <family val="2"/>
        <charset val="1"/>
      </rPr>
      <t xml:space="preserve">R</t>
    </r>
    <r>
      <rPr>
        <sz val="12"/>
        <rFont val="Arial"/>
        <family val="2"/>
        <charset val="1"/>
      </rPr>
      <t xml:space="preserve">isco</t>
    </r>
  </si>
  <si>
    <r>
      <rPr>
        <b val="true"/>
        <sz val="12"/>
        <rFont val="Arial"/>
        <family val="2"/>
        <charset val="1"/>
      </rPr>
      <t xml:space="preserve">D</t>
    </r>
    <r>
      <rPr>
        <sz val="12"/>
        <rFont val="Arial"/>
        <family val="2"/>
        <charset val="1"/>
      </rPr>
      <t xml:space="preserve">espesas </t>
    </r>
    <r>
      <rPr>
        <b val="true"/>
        <sz val="12"/>
        <rFont val="Arial"/>
        <family val="2"/>
        <charset val="1"/>
      </rPr>
      <t xml:space="preserve">F</t>
    </r>
    <r>
      <rPr>
        <sz val="12"/>
        <rFont val="Arial"/>
        <family val="2"/>
        <charset val="1"/>
      </rPr>
      <t xml:space="preserve">inanceiras</t>
    </r>
  </si>
  <si>
    <r>
      <rPr>
        <b val="true"/>
        <sz val="12"/>
        <rFont val="Arial"/>
        <family val="2"/>
        <charset val="1"/>
      </rPr>
      <t xml:space="preserve">L</t>
    </r>
    <r>
      <rPr>
        <sz val="12"/>
        <rFont val="Arial"/>
        <family val="2"/>
        <charset val="1"/>
      </rPr>
      <t xml:space="preserve">ucro</t>
    </r>
  </si>
  <si>
    <r>
      <rPr>
        <b val="true"/>
        <sz val="12"/>
        <rFont val="Arial"/>
        <family val="2"/>
        <charset val="1"/>
      </rPr>
      <t xml:space="preserve">I1:</t>
    </r>
    <r>
      <rPr>
        <sz val="12"/>
        <rFont val="Arial"/>
        <family val="2"/>
        <charset val="1"/>
      </rPr>
      <t xml:space="preserve"> PIS e COFINS</t>
    </r>
  </si>
  <si>
    <r>
      <rPr>
        <b val="true"/>
        <sz val="12"/>
        <rFont val="Arial"/>
        <family val="2"/>
        <charset val="1"/>
      </rPr>
      <t xml:space="preserve">I2:</t>
    </r>
    <r>
      <rPr>
        <sz val="12"/>
        <rFont val="Arial"/>
        <family val="2"/>
        <charset val="1"/>
      </rPr>
      <t xml:space="preserve"> ISSQN (conforme legislação municipal)</t>
    </r>
  </si>
  <si>
    <t xml:space="preserve">BDI - SEM Desoneração da folha de pagamento</t>
  </si>
  <si>
    <t xml:space="preserve">BDI - COM Desoneração da folha de pagamento</t>
  </si>
  <si>
    <t xml:space="preserve">Declaramos que esta planilha foi elaborada conforme equação para cálculo do percentual do BDI recomendada pelo Acórdão 2622/2013 - TCU, representada pela fórmula abaixo.</t>
  </si>
  <si>
    <t xml:space="preserve">BDI - SEM Desoneração = [(1+AC+S+G+R)X(1+DF)X(1+L)/(1-I1-I2)]-1</t>
  </si>
  <si>
    <t xml:space="preserve">Responsável Técnico: Carlos Alberto Benedito Junior</t>
  </si>
  <si>
    <t xml:space="preserve">Eng. Civil – CREA/SP: 5070177923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</si>
</sst>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-&quot;R$ &quot;* #,##0.00_-;&quot;-R$ &quot;* #,##0.00_-;_-&quot;R$ &quot;* \-??_-;_-@_-"/>
    <numFmt numFmtId="166" formatCode="0%"/>
    <numFmt numFmtId="167" formatCode="_-* #,##0.00_-;\-* #,##0.00_-;_-* \-??_-;_-@_-"/>
    <numFmt numFmtId="168" formatCode="_(* #,##0.00_);_(* \(#,##0.00\);_(* \-??_);_(@_)"/>
    <numFmt numFmtId="169" formatCode="0.00%"/>
    <numFmt numFmtId="170" formatCode="d/m/yyyy"/>
    <numFmt numFmtId="171" formatCode="@"/>
    <numFmt numFmtId="172" formatCode="General"/>
    <numFmt numFmtId="173" formatCode="#,##0.00"/>
    <numFmt numFmtId="174" formatCode="[$R$-416]\ #,##0.00;[RED]\-[$R$-416]\ #,##0.00"/>
    <numFmt numFmtId="175" formatCode="0.000%"/>
    <numFmt numFmtId="176" formatCode="0"/>
    <numFmt numFmtId="177" formatCode="0.00"/>
    <numFmt numFmtId="178" formatCode="[$-F800]dddd&quot;, &quot;mmmm\ dd&quot;, &quot;yyyy"/>
    <numFmt numFmtId="179" formatCode="&quot;R$ &quot;#,##0.00"/>
    <numFmt numFmtId="180" formatCode="&quot;R$ &quot;#,##0.00;&quot;-R$ &quot;#,##0.00"/>
    <numFmt numFmtId="181" formatCode="0######\-##/####"/>
    <numFmt numFmtId="182" formatCode="&quot;( &quot;0&quot; )&quot;"/>
  </numFmts>
  <fonts count="3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85"/>
      <color rgb="FF000000"/>
      <name val="Times New Roman"/>
      <family val="1"/>
      <charset val="1"/>
    </font>
    <font>
      <sz val="10"/>
      <color rgb="FF000000"/>
      <name val="MS Sans Serif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name val="Arial"/>
      <family val="2"/>
      <charset val="1"/>
    </font>
    <font>
      <b val="true"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  <font>
      <sz val="9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2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1"/>
      <color theme="1"/>
      <name val="Arial"/>
      <family val="2"/>
      <charset val="1"/>
    </font>
    <font>
      <sz val="12"/>
      <color theme="1"/>
      <name val="Calibri"/>
      <family val="2"/>
      <charset val="1"/>
    </font>
    <font>
      <b val="true"/>
      <sz val="16"/>
      <color rgb="FF000000"/>
      <name val="Arial"/>
      <family val="2"/>
      <charset val="1"/>
    </font>
    <font>
      <sz val="10"/>
      <color theme="1"/>
      <name val="Calibri"/>
      <family val="2"/>
      <charset val="1"/>
    </font>
    <font>
      <b val="true"/>
      <sz val="12"/>
      <color theme="1"/>
      <name val="Arial"/>
      <family val="2"/>
      <charset val="1"/>
    </font>
    <font>
      <b val="true"/>
      <sz val="11"/>
      <color theme="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8" tint="0.7998"/>
        <bgColor rgb="FFCCFFFF"/>
      </patternFill>
    </fill>
    <fill>
      <patternFill patternType="solid">
        <fgColor theme="8" tint="0.3998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4" tint="-0.25"/>
        <bgColor rgb="FF0066CC"/>
      </patternFill>
    </fill>
    <fill>
      <patternFill patternType="solid">
        <fgColor theme="8" tint="0.5998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medium">
        <color rgb="FFFFFFFF"/>
      </left>
      <right/>
      <top style="thin"/>
      <bottom style="medium">
        <color rgb="FFFFFFFF"/>
      </bottom>
      <diagonal/>
    </border>
    <border diagonalUp="false" diagonalDown="false">
      <left/>
      <right style="medium">
        <color rgb="FFFFFFFF"/>
      </right>
      <top/>
      <bottom style="medium">
        <color rgb="FFFFFFFF"/>
      </bottom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1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7" fillId="3" borderId="1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3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5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5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0" fillId="3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2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2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2" fillId="0" borderId="1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2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7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12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12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2" fillId="4" borderId="1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12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15" fillId="2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1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12" fillId="0" borderId="1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2" fillId="0" borderId="1" xfId="26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12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8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7" fontId="12" fillId="0" borderId="1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6" fontId="12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12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4" fontId="12" fillId="0" borderId="6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12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1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12" fillId="0" borderId="6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71" fontId="18" fillId="4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8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7" fontId="1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8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8" fillId="4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8" fillId="4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3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7" fillId="3" borderId="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8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78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7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8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9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0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8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7" fillId="0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1" fillId="0" borderId="14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1" fillId="0" borderId="16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8" fontId="22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8" fillId="0" borderId="2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14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3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16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2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3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3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9" fillId="3" borderId="15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0" fillId="3" borderId="2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3" borderId="1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5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5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0" fillId="5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5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23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23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5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2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4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2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3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5" borderId="3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9" fillId="6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9" fillId="6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5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31" fillId="7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31" fillId="7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1" fillId="0" borderId="4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31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32" fillId="0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6" fontId="6" fillId="0" borderId="4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31" fillId="0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48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6" fillId="0" borderId="49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1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0" borderId="51" xfId="0" applyFont="true" applyBorder="true" applyAlignment="true" applyProtection="true">
      <alignment horizontal="distributed" vertical="top" textRotation="0" wrapText="false" indent="0" shrinkToFit="false"/>
      <protection locked="true" hidden="false"/>
    </xf>
    <xf numFmtId="164" fontId="31" fillId="0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1" fillId="0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5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6" fillId="0" borderId="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1" fillId="0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3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3" fillId="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8" borderId="4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4" fillId="0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8" borderId="5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4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8" borderId="5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3" fillId="7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8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5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5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3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Moeda 3" xfId="21"/>
    <cellStyle name="Normal 2" xfId="22"/>
    <cellStyle name="Normal 2 2" xfId="23"/>
    <cellStyle name="Normal_Orçam. Padrão PMSP Jul07" xfId="24"/>
    <cellStyle name="Porcentagem 3" xfId="25"/>
    <cellStyle name="Vírgula 2" xfId="26"/>
    <cellStyle name="Vírgula 4" xfId="27"/>
    <cellStyle name="Vírgula 4 2" xfId="28"/>
  </cellStyles>
  <dxfs count="16"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color rgb="FFFFFFFF"/>
      </font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0"/>
        <i val="0"/>
      </font>
    </dxf>
    <dxf>
      <font>
        <b val="1"/>
        <i val="0"/>
        <color rgb="FFFFFFFF"/>
      </font>
      <border diagonalUp="false" diagonalDown="false">
        <left style="thin"/>
        <right style="thin"/>
        <top style="thin"/>
        <bottom style="thin"/>
        <diagonal/>
      </border>
    </dxf>
    <dxf>
      <font>
        <b val="0"/>
        <i val="0"/>
        <color rgb="FFFFFFFF"/>
      </font>
    </dxf>
    <dxf>
      <font>
        <b val="1"/>
        <i val="0"/>
      </font>
    </dxf>
    <dxf>
      <font>
        <b val="0"/>
        <i val="0"/>
      </font>
    </dxf>
    <dxf>
      <font>
        <color rgb="FFFFFFFF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458640</xdr:colOff>
      <xdr:row>1</xdr:row>
      <xdr:rowOff>66600</xdr:rowOff>
    </xdr:from>
    <xdr:to>
      <xdr:col>3</xdr:col>
      <xdr:colOff>247320</xdr:colOff>
      <xdr:row>4</xdr:row>
      <xdr:rowOff>142920</xdr:rowOff>
    </xdr:to>
    <xdr:pic>
      <xdr:nvPicPr>
        <xdr:cNvPr id="0" name="Imagem 4" descr=""/>
        <xdr:cNvPicPr/>
      </xdr:nvPicPr>
      <xdr:blipFill>
        <a:blip r:embed="rId1"/>
        <a:stretch/>
      </xdr:blipFill>
      <xdr:spPr>
        <a:xfrm>
          <a:off x="576000" y="228600"/>
          <a:ext cx="1190160" cy="990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270720</xdr:colOff>
      <xdr:row>0</xdr:row>
      <xdr:rowOff>18000</xdr:rowOff>
    </xdr:from>
    <xdr:to>
      <xdr:col>3</xdr:col>
      <xdr:colOff>293760</xdr:colOff>
      <xdr:row>3</xdr:row>
      <xdr:rowOff>218160</xdr:rowOff>
    </xdr:to>
    <xdr:pic>
      <xdr:nvPicPr>
        <xdr:cNvPr id="1" name="Imagem 3" descr=""/>
        <xdr:cNvPicPr/>
      </xdr:nvPicPr>
      <xdr:blipFill>
        <a:blip r:embed="rId1"/>
        <a:stretch/>
      </xdr:blipFill>
      <xdr:spPr>
        <a:xfrm>
          <a:off x="388080" y="18000"/>
          <a:ext cx="1190160" cy="990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231840</xdr:colOff>
      <xdr:row>1</xdr:row>
      <xdr:rowOff>52920</xdr:rowOff>
    </xdr:from>
    <xdr:to>
      <xdr:col>2</xdr:col>
      <xdr:colOff>817560</xdr:colOff>
      <xdr:row>4</xdr:row>
      <xdr:rowOff>212400</xdr:rowOff>
    </xdr:to>
    <xdr:pic>
      <xdr:nvPicPr>
        <xdr:cNvPr id="2" name="Imagem 1" descr=""/>
        <xdr:cNvPicPr/>
      </xdr:nvPicPr>
      <xdr:blipFill>
        <a:blip r:embed="rId1"/>
        <a:stretch/>
      </xdr:blipFill>
      <xdr:spPr>
        <a:xfrm>
          <a:off x="349200" y="157680"/>
          <a:ext cx="1643040" cy="1102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95400</xdr:colOff>
      <xdr:row>1</xdr:row>
      <xdr:rowOff>48240</xdr:rowOff>
    </xdr:from>
    <xdr:to>
      <xdr:col>2</xdr:col>
      <xdr:colOff>591120</xdr:colOff>
      <xdr:row>4</xdr:row>
      <xdr:rowOff>133560</xdr:rowOff>
    </xdr:to>
    <xdr:pic>
      <xdr:nvPicPr>
        <xdr:cNvPr id="3" name="Imagem 1" descr=""/>
        <xdr:cNvPicPr/>
      </xdr:nvPicPr>
      <xdr:blipFill>
        <a:blip r:embed="rId1"/>
        <a:stretch/>
      </xdr:blipFill>
      <xdr:spPr>
        <a:xfrm>
          <a:off x="244080" y="153000"/>
          <a:ext cx="1317960" cy="923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149400</xdr:colOff>
      <xdr:row>1</xdr:row>
      <xdr:rowOff>24480</xdr:rowOff>
    </xdr:from>
    <xdr:to>
      <xdr:col>2</xdr:col>
      <xdr:colOff>581400</xdr:colOff>
      <xdr:row>4</xdr:row>
      <xdr:rowOff>133560</xdr:rowOff>
    </xdr:to>
    <xdr:pic>
      <xdr:nvPicPr>
        <xdr:cNvPr id="4" name="Imagem 1" descr=""/>
        <xdr:cNvPicPr/>
      </xdr:nvPicPr>
      <xdr:blipFill>
        <a:blip r:embed="rId1"/>
        <a:stretch/>
      </xdr:blipFill>
      <xdr:spPr>
        <a:xfrm>
          <a:off x="298080" y="129240"/>
          <a:ext cx="1254240" cy="909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297720</xdr:colOff>
      <xdr:row>0</xdr:row>
      <xdr:rowOff>33120</xdr:rowOff>
    </xdr:from>
    <xdr:to>
      <xdr:col>0</xdr:col>
      <xdr:colOff>1487880</xdr:colOff>
      <xdr:row>0</xdr:row>
      <xdr:rowOff>1023840</xdr:rowOff>
    </xdr:to>
    <xdr:pic>
      <xdr:nvPicPr>
        <xdr:cNvPr id="5" name="Imagem 2" descr=""/>
        <xdr:cNvPicPr/>
      </xdr:nvPicPr>
      <xdr:blipFill>
        <a:blip r:embed="rId1"/>
        <a:stretch/>
      </xdr:blipFill>
      <xdr:spPr>
        <a:xfrm>
          <a:off x="297720" y="33120"/>
          <a:ext cx="1190160" cy="9907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0.10.0.5/PROJETOS/04%20-%20EDUCA&#199;&#195;O/09%20-%20CEMPI%20MARIA%20BUENO%20DE%20AMO&#202;DO%20CAMPOS%20(VILA%20DIAS)/Reforma%202021/PLANILHAS/BDI%20CEMPI_REV.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2">
          <cell r="C2">
            <v>0.2043</v>
          </cell>
          <cell r="D2">
            <v>0.2212</v>
          </cell>
          <cell r="E2">
            <v>0.25</v>
          </cell>
        </row>
        <row r="3">
          <cell r="C3">
            <v>0.03</v>
          </cell>
          <cell r="D3">
            <v>0.04</v>
          </cell>
          <cell r="E3">
            <v>0.055</v>
          </cell>
        </row>
        <row r="4">
          <cell r="C4">
            <v>0.008</v>
          </cell>
          <cell r="D4">
            <v>0.008</v>
          </cell>
          <cell r="E4">
            <v>0.01</v>
          </cell>
        </row>
        <row r="5">
          <cell r="C5">
            <v>0.0097</v>
          </cell>
          <cell r="D5">
            <v>0.0127</v>
          </cell>
          <cell r="E5">
            <v>0.0127</v>
          </cell>
        </row>
        <row r="6">
          <cell r="C6">
            <v>0.0059</v>
          </cell>
          <cell r="D6">
            <v>0.0123</v>
          </cell>
          <cell r="E6">
            <v>0.0139</v>
          </cell>
        </row>
        <row r="7">
          <cell r="C7">
            <v>0.0616</v>
          </cell>
          <cell r="D7">
            <v>0.074</v>
          </cell>
          <cell r="E7">
            <v>0.0896</v>
          </cell>
        </row>
        <row r="11">
          <cell r="C11">
            <v>0.196</v>
          </cell>
          <cell r="D11">
            <v>0.2097</v>
          </cell>
          <cell r="E11">
            <v>0.2423</v>
          </cell>
        </row>
        <row r="12">
          <cell r="C12">
            <v>0.038</v>
          </cell>
          <cell r="D12">
            <v>0.0401</v>
          </cell>
          <cell r="E12">
            <v>0.0467</v>
          </cell>
        </row>
        <row r="13">
          <cell r="C13">
            <v>0.0032</v>
          </cell>
          <cell r="D13">
            <v>0.004</v>
          </cell>
          <cell r="E13">
            <v>0.0074</v>
          </cell>
        </row>
        <row r="14">
          <cell r="C14">
            <v>0.005</v>
          </cell>
          <cell r="D14">
            <v>0.0056</v>
          </cell>
          <cell r="E14">
            <v>0.0097</v>
          </cell>
        </row>
        <row r="15">
          <cell r="C15">
            <v>0.0102</v>
          </cell>
          <cell r="D15">
            <v>0.0111</v>
          </cell>
          <cell r="E15">
            <v>0.0121</v>
          </cell>
        </row>
        <row r="16">
          <cell r="C16">
            <v>0.0664</v>
          </cell>
          <cell r="D16">
            <v>0.073</v>
          </cell>
          <cell r="E16">
            <v>0.0869</v>
          </cell>
        </row>
        <row r="20">
          <cell r="C20">
            <v>0.2076</v>
          </cell>
          <cell r="D20">
            <v>0.2418</v>
          </cell>
          <cell r="E20">
            <v>0.2644</v>
          </cell>
        </row>
        <row r="21">
          <cell r="C21">
            <v>0.0343</v>
          </cell>
          <cell r="D21">
            <v>0.0493</v>
          </cell>
          <cell r="E21">
            <v>0.0671</v>
          </cell>
        </row>
        <row r="22">
          <cell r="C22">
            <v>0.0028</v>
          </cell>
          <cell r="D22">
            <v>0.0049</v>
          </cell>
          <cell r="E22">
            <v>0.0075</v>
          </cell>
        </row>
        <row r="23">
          <cell r="C23">
            <v>0.01</v>
          </cell>
          <cell r="D23">
            <v>0.0139</v>
          </cell>
          <cell r="E23">
            <v>0.0174</v>
          </cell>
        </row>
        <row r="24">
          <cell r="C24">
            <v>0.0094</v>
          </cell>
          <cell r="D24">
            <v>0.0099</v>
          </cell>
          <cell r="E24">
            <v>0.0117</v>
          </cell>
        </row>
        <row r="25">
          <cell r="C25">
            <v>0.0674</v>
          </cell>
          <cell r="D25">
            <v>0.0804</v>
          </cell>
          <cell r="E25">
            <v>0.094</v>
          </cell>
        </row>
        <row r="29">
          <cell r="C29">
            <v>0.24</v>
          </cell>
          <cell r="D29">
            <v>0.2584</v>
          </cell>
          <cell r="E29">
            <v>0.2786</v>
          </cell>
        </row>
        <row r="30">
          <cell r="C30">
            <v>0.0529</v>
          </cell>
          <cell r="D30">
            <v>0.0592</v>
          </cell>
          <cell r="E30">
            <v>0.0793</v>
          </cell>
        </row>
        <row r="31">
          <cell r="C31">
            <v>0.0025</v>
          </cell>
          <cell r="D31">
            <v>0.0051</v>
          </cell>
          <cell r="E31">
            <v>0.0056</v>
          </cell>
        </row>
        <row r="32">
          <cell r="C32">
            <v>0.01</v>
          </cell>
          <cell r="D32">
            <v>0.0148</v>
          </cell>
          <cell r="E32">
            <v>0.0197</v>
          </cell>
        </row>
        <row r="33">
          <cell r="C33">
            <v>0.0101</v>
          </cell>
          <cell r="D33">
            <v>0.0107</v>
          </cell>
          <cell r="E33">
            <v>0.0111</v>
          </cell>
        </row>
        <row r="34">
          <cell r="C34">
            <v>0.08</v>
          </cell>
          <cell r="D34">
            <v>0.0831</v>
          </cell>
          <cell r="E34">
            <v>0.0951</v>
          </cell>
        </row>
        <row r="38">
          <cell r="C38">
            <v>0.228</v>
          </cell>
          <cell r="D38">
            <v>0.2748</v>
          </cell>
          <cell r="E38">
            <v>0.3095</v>
          </cell>
        </row>
        <row r="39">
          <cell r="C39">
            <v>0.04</v>
          </cell>
          <cell r="D39">
            <v>0.0552</v>
          </cell>
          <cell r="E39">
            <v>0.0785</v>
          </cell>
        </row>
        <row r="40">
          <cell r="C40">
            <v>0.0081</v>
          </cell>
          <cell r="D40">
            <v>0.0122</v>
          </cell>
          <cell r="E40">
            <v>0.0199</v>
          </cell>
        </row>
        <row r="41">
          <cell r="C41">
            <v>0.0146</v>
          </cell>
          <cell r="D41">
            <v>0.0232</v>
          </cell>
          <cell r="E41">
            <v>0.0316</v>
          </cell>
        </row>
        <row r="42">
          <cell r="C42">
            <v>0.0094</v>
          </cell>
          <cell r="D42">
            <v>0.0102</v>
          </cell>
          <cell r="E42">
            <v>0.0133</v>
          </cell>
        </row>
        <row r="43">
          <cell r="C43">
            <v>0.0714</v>
          </cell>
          <cell r="D43">
            <v>0.084</v>
          </cell>
          <cell r="E43">
            <v>0.1043</v>
          </cell>
        </row>
        <row r="47">
          <cell r="C47">
            <v>0.111</v>
          </cell>
          <cell r="D47">
            <v>0.1402</v>
          </cell>
          <cell r="E47">
            <v>0.168</v>
          </cell>
        </row>
        <row r="48">
          <cell r="C48">
            <v>0.015</v>
          </cell>
          <cell r="D48">
            <v>0.0345</v>
          </cell>
          <cell r="E48">
            <v>0.0449</v>
          </cell>
        </row>
        <row r="49">
          <cell r="C49">
            <v>0.003</v>
          </cell>
          <cell r="D49">
            <v>0.0048</v>
          </cell>
          <cell r="E49">
            <v>0.0082</v>
          </cell>
        </row>
        <row r="50">
          <cell r="C50">
            <v>0.0056</v>
          </cell>
          <cell r="D50">
            <v>0.0085</v>
          </cell>
          <cell r="E50">
            <v>0.0089</v>
          </cell>
        </row>
        <row r="51">
          <cell r="C51">
            <v>0.0085</v>
          </cell>
          <cell r="D51">
            <v>0.0085</v>
          </cell>
          <cell r="E51">
            <v>0.0111</v>
          </cell>
        </row>
        <row r="52">
          <cell r="C52">
            <v>0.035</v>
          </cell>
          <cell r="D52">
            <v>0.0511</v>
          </cell>
          <cell r="E52">
            <v>0.0622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A1:O181"/>
  <sheetViews>
    <sheetView showFormulas="false" showGridLines="true" showRowColHeaders="true" showZeros="true" rightToLeft="false" tabSelected="true" showOutlineSymbols="true" defaultGridColor="true" view="pageBreakPreview" topLeftCell="A119" colorId="64" zoomScale="110" zoomScaleNormal="100" zoomScalePageLayoutView="110" workbookViewId="0">
      <selection pane="topLeft" activeCell="H137" activeCellId="0" sqref="H137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7"/>
    <col collapsed="false" customWidth="true" hidden="false" outlineLevel="0" max="3" min="3" style="1" width="12.88"/>
    <col collapsed="false" customWidth="true" hidden="false" outlineLevel="0" max="4" min="4" style="1" width="12.56"/>
    <col collapsed="false" customWidth="true" hidden="false" outlineLevel="0" max="5" min="5" style="1" width="75.62"/>
    <col collapsed="false" customWidth="true" hidden="false" outlineLevel="0" max="6" min="6" style="2" width="10.44"/>
    <col collapsed="false" customWidth="true" hidden="false" outlineLevel="0" max="7" min="7" style="1" width="12.44"/>
    <col collapsed="false" customWidth="true" hidden="false" outlineLevel="0" max="8" min="8" style="3" width="14.88"/>
    <col collapsed="false" customWidth="true" hidden="false" outlineLevel="0" max="9" min="9" style="4" width="18.44"/>
    <col collapsed="false" customWidth="true" hidden="false" outlineLevel="0" max="10" min="10" style="3" width="17.11"/>
    <col collapsed="false" customWidth="true" hidden="false" outlineLevel="0" max="11" min="11" style="1" width="9.11"/>
  </cols>
  <sheetData>
    <row r="1" customFormat="false" ht="12.75" hidden="false" customHeight="true" outlineLevel="0" collapsed="false">
      <c r="B1" s="5"/>
      <c r="C1" s="5"/>
      <c r="D1" s="5"/>
      <c r="E1" s="5"/>
      <c r="F1" s="5"/>
      <c r="G1" s="5"/>
      <c r="H1" s="5"/>
      <c r="I1" s="5"/>
      <c r="J1" s="5"/>
    </row>
    <row r="2" customFormat="false" ht="30.75" hidden="false" customHeight="true" outlineLevel="0" collapsed="false">
      <c r="B2" s="6"/>
      <c r="C2" s="6"/>
      <c r="D2" s="6"/>
      <c r="E2" s="7" t="s">
        <v>0</v>
      </c>
      <c r="F2" s="7"/>
      <c r="G2" s="7"/>
      <c r="H2" s="7"/>
      <c r="I2" s="7"/>
      <c r="J2" s="7"/>
      <c r="K2" s="7"/>
    </row>
    <row r="3" customFormat="false" ht="21" hidden="false" customHeight="true" outlineLevel="0" collapsed="false">
      <c r="B3" s="6"/>
      <c r="C3" s="6"/>
      <c r="D3" s="6"/>
      <c r="E3" s="8" t="s">
        <v>1</v>
      </c>
      <c r="F3" s="8"/>
      <c r="G3" s="8"/>
      <c r="H3" s="8"/>
      <c r="I3" s="8"/>
      <c r="J3" s="8"/>
      <c r="K3" s="8"/>
    </row>
    <row r="4" customFormat="false" ht="20.25" hidden="false" customHeight="true" outlineLevel="0" collapsed="false">
      <c r="B4" s="6"/>
      <c r="C4" s="6"/>
      <c r="D4" s="6"/>
      <c r="E4" s="9" t="s">
        <v>2</v>
      </c>
      <c r="F4" s="9"/>
      <c r="G4" s="9"/>
      <c r="H4" s="9"/>
      <c r="I4" s="9"/>
      <c r="J4" s="9"/>
      <c r="K4" s="9"/>
    </row>
    <row r="5" customFormat="false" ht="20.25" hidden="false" customHeight="true" outlineLevel="0" collapsed="false">
      <c r="B5" s="6"/>
      <c r="C5" s="6"/>
      <c r="D5" s="6"/>
      <c r="E5" s="10" t="s">
        <v>3</v>
      </c>
      <c r="F5" s="10"/>
      <c r="G5" s="10"/>
      <c r="H5" s="10"/>
      <c r="I5" s="10"/>
      <c r="J5" s="10"/>
      <c r="K5" s="10"/>
    </row>
    <row r="6" customFormat="false" ht="21.75" hidden="false" customHeight="true" outlineLevel="0" collapsed="false">
      <c r="B6" s="6"/>
      <c r="C6" s="6"/>
      <c r="D6" s="6"/>
      <c r="E6" s="6"/>
      <c r="F6" s="6"/>
      <c r="G6" s="6"/>
      <c r="H6" s="6"/>
      <c r="I6" s="6"/>
      <c r="J6" s="6"/>
      <c r="K6" s="6"/>
    </row>
    <row r="7" customFormat="false" ht="27.75" hidden="false" customHeight="true" outlineLevel="0" collapsed="false">
      <c r="B7" s="11" t="s">
        <v>4</v>
      </c>
      <c r="C7" s="11"/>
      <c r="D7" s="12" t="s">
        <v>5</v>
      </c>
      <c r="E7" s="12"/>
      <c r="F7" s="12"/>
      <c r="G7" s="12"/>
      <c r="H7" s="13" t="s">
        <v>6</v>
      </c>
      <c r="I7" s="14" t="n">
        <v>0.2354</v>
      </c>
      <c r="J7" s="13" t="s">
        <v>7</v>
      </c>
      <c r="K7" s="15" t="s">
        <v>8</v>
      </c>
    </row>
    <row r="8" customFormat="false" ht="27.75" hidden="false" customHeight="true" outlineLevel="0" collapsed="false">
      <c r="B8" s="11" t="s">
        <v>9</v>
      </c>
      <c r="C8" s="11"/>
      <c r="D8" s="16" t="s">
        <v>10</v>
      </c>
      <c r="E8" s="16"/>
      <c r="F8" s="16"/>
      <c r="G8" s="16"/>
      <c r="H8" s="13" t="s">
        <v>11</v>
      </c>
      <c r="I8" s="17" t="n">
        <f aca="true">TODAY()</f>
        <v>46066</v>
      </c>
      <c r="J8" s="13" t="s">
        <v>12</v>
      </c>
      <c r="K8" s="18" t="s">
        <v>13</v>
      </c>
    </row>
    <row r="9" customFormat="false" ht="21.85" hidden="false" customHeight="true" outlineLevel="0" collapsed="false">
      <c r="B9" s="19"/>
      <c r="C9" s="19"/>
      <c r="D9" s="19"/>
      <c r="E9" s="19"/>
      <c r="F9" s="19"/>
      <c r="G9" s="19"/>
      <c r="H9" s="19"/>
      <c r="I9" s="19"/>
      <c r="J9" s="19"/>
      <c r="K9" s="20"/>
    </row>
    <row r="10" customFormat="false" ht="22.5" hidden="false" customHeight="true" outlineLevel="0" collapsed="false">
      <c r="B10" s="21" t="s">
        <v>14</v>
      </c>
      <c r="C10" s="21"/>
      <c r="D10" s="21"/>
      <c r="E10" s="21"/>
      <c r="F10" s="21"/>
      <c r="G10" s="21"/>
      <c r="H10" s="21"/>
      <c r="I10" s="21"/>
      <c r="J10" s="21"/>
      <c r="K10" s="21"/>
    </row>
    <row r="11" customFormat="false" ht="22.5" hidden="false" customHeight="true" outlineLevel="0" collapsed="false">
      <c r="B11" s="22" t="s">
        <v>15</v>
      </c>
      <c r="C11" s="22"/>
      <c r="D11" s="23" t="s">
        <v>16</v>
      </c>
      <c r="E11" s="23"/>
      <c r="F11" s="23"/>
      <c r="G11" s="23"/>
      <c r="H11" s="23"/>
      <c r="I11" s="24" t="s">
        <v>17</v>
      </c>
      <c r="J11" s="25" t="s">
        <v>18</v>
      </c>
      <c r="K11" s="25"/>
    </row>
    <row r="12" customFormat="false" ht="14.25" hidden="false" customHeight="false" outlineLevel="0" collapsed="false">
      <c r="B12" s="6" t="n">
        <v>1</v>
      </c>
      <c r="C12" s="6"/>
      <c r="D12" s="26" t="str">
        <f aca="false">E26</f>
        <v>SERVIÇOS PRELIMINARES</v>
      </c>
      <c r="E12" s="26"/>
      <c r="F12" s="26"/>
      <c r="G12" s="26"/>
      <c r="H12" s="26"/>
      <c r="I12" s="13" t="n">
        <f aca="false">J26</f>
        <v>21870.26</v>
      </c>
      <c r="J12" s="27" t="n">
        <f aca="false">I12/$I$23</f>
        <v>0.0530978796911522</v>
      </c>
      <c r="K12" s="27"/>
    </row>
    <row r="13" customFormat="false" ht="14.25" hidden="false" customHeight="false" outlineLevel="0" collapsed="false">
      <c r="B13" s="6" t="n">
        <v>2</v>
      </c>
      <c r="C13" s="6"/>
      <c r="D13" s="26" t="str">
        <f aca="false">E38</f>
        <v>FUNDAÇÕES</v>
      </c>
      <c r="E13" s="26"/>
      <c r="F13" s="26"/>
      <c r="G13" s="26"/>
      <c r="H13" s="26"/>
      <c r="I13" s="13" t="n">
        <f aca="false">J38</f>
        <v>24129.68</v>
      </c>
      <c r="J13" s="27" t="n">
        <f aca="false">I13/$I$23</f>
        <v>0.058583429992419</v>
      </c>
      <c r="K13" s="27"/>
    </row>
    <row r="14" customFormat="false" ht="14.25" hidden="false" customHeight="false" outlineLevel="0" collapsed="false">
      <c r="B14" s="6" t="n">
        <v>3</v>
      </c>
      <c r="C14" s="6"/>
      <c r="D14" s="26" t="str">
        <f aca="false">E51</f>
        <v>ALVENARIA</v>
      </c>
      <c r="E14" s="26"/>
      <c r="F14" s="26"/>
      <c r="G14" s="26"/>
      <c r="H14" s="26"/>
      <c r="I14" s="28" t="n">
        <f aca="false">J51</f>
        <v>33145.9</v>
      </c>
      <c r="J14" s="27" t="n">
        <f aca="false">I14/$I$23</f>
        <v>0.0804735293707054</v>
      </c>
      <c r="K14" s="27"/>
    </row>
    <row r="15" customFormat="false" ht="14.25" hidden="false" customHeight="false" outlineLevel="0" collapsed="false">
      <c r="B15" s="6" t="n">
        <v>4</v>
      </c>
      <c r="C15" s="6"/>
      <c r="D15" s="26" t="str">
        <f aca="false">E54</f>
        <v>ESQUADRIAS</v>
      </c>
      <c r="E15" s="26"/>
      <c r="F15" s="26"/>
      <c r="G15" s="26"/>
      <c r="H15" s="26"/>
      <c r="I15" s="28" t="n">
        <f aca="false">J54</f>
        <v>36109.07</v>
      </c>
      <c r="J15" s="27" t="n">
        <f aca="false">I15/$I$23</f>
        <v>0.0876676845460179</v>
      </c>
      <c r="K15" s="27"/>
    </row>
    <row r="16" customFormat="false" ht="14.25" hidden="false" customHeight="false" outlineLevel="0" collapsed="false">
      <c r="B16" s="6" t="n">
        <v>5</v>
      </c>
      <c r="C16" s="6"/>
      <c r="D16" s="26" t="str">
        <f aca="false">E65</f>
        <v>SUPERESTRUTURA DE CONCRETO ARMADO</v>
      </c>
      <c r="E16" s="26"/>
      <c r="F16" s="26"/>
      <c r="G16" s="26"/>
      <c r="H16" s="26"/>
      <c r="I16" s="28" t="n">
        <f aca="false">J65</f>
        <v>60050.85</v>
      </c>
      <c r="J16" s="27" t="n">
        <f aca="false">I16/$I$23</f>
        <v>0.145794920071889</v>
      </c>
      <c r="K16" s="27"/>
    </row>
    <row r="17" customFormat="false" ht="14.25" hidden="false" customHeight="false" outlineLevel="0" collapsed="false">
      <c r="B17" s="6" t="n">
        <v>6</v>
      </c>
      <c r="C17" s="6"/>
      <c r="D17" s="26" t="str">
        <f aca="false">E75</f>
        <v>COBERTURA </v>
      </c>
      <c r="E17" s="26"/>
      <c r="F17" s="26"/>
      <c r="G17" s="26"/>
      <c r="H17" s="26"/>
      <c r="I17" s="28" t="n">
        <f aca="false">J75</f>
        <v>35131.98</v>
      </c>
      <c r="J17" s="27" t="n">
        <f aca="false">I17/$I$23</f>
        <v>0.0852954490413907</v>
      </c>
      <c r="K17" s="27"/>
    </row>
    <row r="18" customFormat="false" ht="14.25" hidden="false" customHeight="false" outlineLevel="0" collapsed="false">
      <c r="B18" s="6" t="n">
        <v>7</v>
      </c>
      <c r="C18" s="6"/>
      <c r="D18" s="26" t="str">
        <f aca="false">E82</f>
        <v>INSTALAÇÕES HIDRÁULICAS</v>
      </c>
      <c r="E18" s="26"/>
      <c r="F18" s="26"/>
      <c r="G18" s="26"/>
      <c r="H18" s="26"/>
      <c r="I18" s="28" t="n">
        <f aca="false">J82</f>
        <v>16905.21</v>
      </c>
      <c r="J18" s="27" t="n">
        <f aca="false">I18/$I$23</f>
        <v>0.0410434446930975</v>
      </c>
      <c r="K18" s="27"/>
    </row>
    <row r="19" customFormat="false" ht="14.25" hidden="false" customHeight="false" outlineLevel="0" collapsed="false">
      <c r="B19" s="6" t="n">
        <v>8</v>
      </c>
      <c r="C19" s="6"/>
      <c r="D19" s="26" t="str">
        <f aca="false">E108</f>
        <v>INSTALAÇÕES ELÉTRICAS </v>
      </c>
      <c r="E19" s="26"/>
      <c r="F19" s="26"/>
      <c r="G19" s="26"/>
      <c r="H19" s="26"/>
      <c r="I19" s="28" t="n">
        <f aca="false">J108</f>
        <v>27764.12</v>
      </c>
      <c r="J19" s="27" t="n">
        <f aca="false">I19/$I$23</f>
        <v>0.0674073332228658</v>
      </c>
      <c r="K19" s="27"/>
    </row>
    <row r="20" customFormat="false" ht="14.25" hidden="false" customHeight="false" outlineLevel="0" collapsed="false">
      <c r="B20" s="6" t="n">
        <v>9</v>
      </c>
      <c r="C20" s="6"/>
      <c r="D20" s="26" t="str">
        <f aca="false">E129</f>
        <v>REVESTIMENTOS</v>
      </c>
      <c r="E20" s="26"/>
      <c r="F20" s="26"/>
      <c r="G20" s="26"/>
      <c r="H20" s="26"/>
      <c r="I20" s="28" t="n">
        <f aca="false">J129</f>
        <v>118243.54</v>
      </c>
      <c r="J20" s="27" t="n">
        <f aca="false">I20/$I$23</f>
        <v>0.287078492033288</v>
      </c>
      <c r="K20" s="27"/>
    </row>
    <row r="21" customFormat="false" ht="14.25" hidden="false" customHeight="false" outlineLevel="0" collapsed="false">
      <c r="B21" s="6" t="n">
        <v>10</v>
      </c>
      <c r="C21" s="6"/>
      <c r="D21" s="26" t="str">
        <f aca="false">E162</f>
        <v>FECHAMENTO</v>
      </c>
      <c r="E21" s="26"/>
      <c r="F21" s="26"/>
      <c r="G21" s="26"/>
      <c r="H21" s="26"/>
      <c r="I21" s="28" t="n">
        <f aca="false">J162</f>
        <v>36302.86</v>
      </c>
      <c r="J21" s="27" t="n">
        <f aca="false">I21/$I$23</f>
        <v>0.0881381790945669</v>
      </c>
      <c r="K21" s="27"/>
    </row>
    <row r="22" customFormat="false" ht="14.25" hidden="false" customHeight="false" outlineLevel="0" collapsed="false">
      <c r="B22" s="6" t="n">
        <v>11</v>
      </c>
      <c r="C22" s="6"/>
      <c r="D22" s="26" t="str">
        <f aca="false">E166</f>
        <v>LIMPEZA FINAL</v>
      </c>
      <c r="E22" s="26"/>
      <c r="F22" s="26"/>
      <c r="G22" s="26"/>
      <c r="H22" s="26"/>
      <c r="I22" s="28" t="n">
        <f aca="false">J166</f>
        <v>2232.28</v>
      </c>
      <c r="J22" s="27" t="n">
        <f aca="false">I22/$I$23</f>
        <v>0.00541965824260733</v>
      </c>
      <c r="K22" s="27"/>
    </row>
    <row r="23" customFormat="false" ht="17.25" hidden="false" customHeight="true" outlineLevel="0" collapsed="false">
      <c r="B23" s="29" t="s">
        <v>19</v>
      </c>
      <c r="C23" s="29"/>
      <c r="D23" s="29"/>
      <c r="E23" s="29"/>
      <c r="F23" s="29"/>
      <c r="G23" s="29"/>
      <c r="H23" s="29"/>
      <c r="I23" s="30" t="n">
        <f aca="false">SUBTOTAL(9,I12:I22)</f>
        <v>411885.75</v>
      </c>
      <c r="J23" s="31" t="n">
        <f aca="false">SUM(J12:K22)</f>
        <v>1</v>
      </c>
      <c r="K23" s="31"/>
    </row>
    <row r="24" customFormat="false" ht="21.85" hidden="false" customHeight="true" outlineLevel="0" collapsed="false">
      <c r="B24" s="32"/>
      <c r="C24" s="32"/>
      <c r="D24" s="32"/>
      <c r="E24" s="32"/>
      <c r="F24" s="32"/>
      <c r="G24" s="32"/>
      <c r="H24" s="32"/>
      <c r="I24" s="32"/>
      <c r="J24" s="32"/>
      <c r="K24" s="32"/>
      <c r="O24" s="33"/>
    </row>
    <row r="25" customFormat="false" ht="21.75" hidden="false" customHeight="true" outlineLevel="0" collapsed="false">
      <c r="B25" s="34" t="s">
        <v>15</v>
      </c>
      <c r="C25" s="34" t="s">
        <v>20</v>
      </c>
      <c r="D25" s="34"/>
      <c r="E25" s="35" t="s">
        <v>16</v>
      </c>
      <c r="F25" s="35" t="s">
        <v>21</v>
      </c>
      <c r="G25" s="36" t="s">
        <v>22</v>
      </c>
      <c r="H25" s="37" t="s">
        <v>23</v>
      </c>
      <c r="I25" s="37" t="s">
        <v>24</v>
      </c>
      <c r="J25" s="37" t="s">
        <v>17</v>
      </c>
      <c r="K25" s="36" t="s">
        <v>18</v>
      </c>
    </row>
    <row r="26" customFormat="false" ht="21.85" hidden="false" customHeight="true" outlineLevel="0" collapsed="false">
      <c r="B26" s="38" t="n">
        <v>1</v>
      </c>
      <c r="C26" s="38"/>
      <c r="D26" s="38"/>
      <c r="E26" s="39" t="s">
        <v>25</v>
      </c>
      <c r="F26" s="39"/>
      <c r="G26" s="39"/>
      <c r="H26" s="39"/>
      <c r="I26" s="40" t="s">
        <v>26</v>
      </c>
      <c r="J26" s="41" t="n">
        <f aca="false">SUBTOTAL(9,J27:J37)</f>
        <v>21870.26</v>
      </c>
      <c r="K26" s="42" t="n">
        <f aca="false">J26/$I$23</f>
        <v>0.0530978796911522</v>
      </c>
    </row>
    <row r="27" customFormat="false" ht="14.25" hidden="false" customHeight="false" outlineLevel="0" collapsed="false">
      <c r="A27" s="2"/>
      <c r="B27" s="43" t="s">
        <v>27</v>
      </c>
      <c r="C27" s="44" t="s">
        <v>28</v>
      </c>
      <c r="D27" s="43" t="s">
        <v>29</v>
      </c>
      <c r="E27" s="45" t="s">
        <v>30</v>
      </c>
      <c r="F27" s="46" t="s">
        <v>31</v>
      </c>
      <c r="G27" s="47" t="n">
        <v>111.5</v>
      </c>
      <c r="H27" s="48" t="n">
        <v>18.03</v>
      </c>
      <c r="I27" s="49" t="n">
        <f aca="false">ROUND(H27*(100%+$I$7),2)</f>
        <v>22.27</v>
      </c>
      <c r="J27" s="49" t="n">
        <f aca="false">ROUND(I27*G27,2)</f>
        <v>2483.11</v>
      </c>
      <c r="K27" s="50" t="n">
        <f aca="false">J27/$I$23</f>
        <v>0.00602863779579653</v>
      </c>
      <c r="L27" s="2"/>
      <c r="M27" s="2"/>
      <c r="N27" s="2"/>
      <c r="O27" s="2"/>
    </row>
    <row r="28" customFormat="false" ht="14.25" hidden="false" customHeight="false" outlineLevel="0" collapsed="false">
      <c r="A28" s="2"/>
      <c r="B28" s="43" t="s">
        <v>32</v>
      </c>
      <c r="C28" s="44" t="s">
        <v>28</v>
      </c>
      <c r="D28" s="43" t="s">
        <v>33</v>
      </c>
      <c r="E28" s="51" t="s">
        <v>34</v>
      </c>
      <c r="F28" s="46" t="s">
        <v>31</v>
      </c>
      <c r="G28" s="47" t="n">
        <v>6</v>
      </c>
      <c r="H28" s="49" t="n">
        <v>904.29</v>
      </c>
      <c r="I28" s="49" t="n">
        <f aca="false">ROUND(H28*(100%+$I$7),2)</f>
        <v>1117.16</v>
      </c>
      <c r="J28" s="49" t="n">
        <f aca="false">ROUND(I28*G28,2)</f>
        <v>6702.96</v>
      </c>
      <c r="K28" s="50" t="n">
        <f aca="false">J28/$I$23</f>
        <v>0.0162738332170996</v>
      </c>
      <c r="L28" s="2"/>
      <c r="M28" s="2"/>
      <c r="N28" s="2"/>
      <c r="O28" s="2"/>
    </row>
    <row r="29" customFormat="false" ht="14.25" hidden="false" customHeight="false" outlineLevel="0" collapsed="false">
      <c r="A29" s="2"/>
      <c r="B29" s="43" t="s">
        <v>35</v>
      </c>
      <c r="C29" s="44" t="s">
        <v>28</v>
      </c>
      <c r="D29" s="43" t="s">
        <v>36</v>
      </c>
      <c r="E29" s="51" t="s">
        <v>37</v>
      </c>
      <c r="F29" s="46" t="s">
        <v>38</v>
      </c>
      <c r="G29" s="47" t="n">
        <v>2</v>
      </c>
      <c r="H29" s="49" t="n">
        <v>2658.26</v>
      </c>
      <c r="I29" s="49" t="n">
        <f aca="false">ROUND(H29*(100%+$I$7),2)</f>
        <v>3284.01</v>
      </c>
      <c r="J29" s="49" t="n">
        <f aca="false">ROUND(I29*G29,2)</f>
        <v>6568.02</v>
      </c>
      <c r="K29" s="50" t="n">
        <f aca="false">J29/$I$23</f>
        <v>0.0159462180956734</v>
      </c>
      <c r="L29" s="2"/>
      <c r="M29" s="2"/>
      <c r="N29" s="2"/>
      <c r="O29" s="2"/>
    </row>
    <row r="30" customFormat="false" ht="14.25" hidden="false" customHeight="false" outlineLevel="0" collapsed="false">
      <c r="A30" s="2"/>
      <c r="B30" s="43" t="s">
        <v>39</v>
      </c>
      <c r="C30" s="44" t="s">
        <v>28</v>
      </c>
      <c r="D30" s="43" t="s">
        <v>40</v>
      </c>
      <c r="E30" s="51" t="s">
        <v>41</v>
      </c>
      <c r="F30" s="46" t="s">
        <v>38</v>
      </c>
      <c r="G30" s="47" t="n">
        <v>1</v>
      </c>
      <c r="H30" s="49" t="n">
        <v>1267.26</v>
      </c>
      <c r="I30" s="49" t="n">
        <f aca="false">ROUND(H30*(100%+$I$7),2)</f>
        <v>1565.57</v>
      </c>
      <c r="J30" s="49" t="n">
        <f aca="false">ROUND(I30*G30,2)</f>
        <v>1565.57</v>
      </c>
      <c r="K30" s="50" t="n">
        <f aca="false">J30/$I$23</f>
        <v>0.0038009812186996</v>
      </c>
      <c r="L30" s="2"/>
      <c r="M30" s="2"/>
      <c r="N30" s="2"/>
      <c r="O30" s="2"/>
    </row>
    <row r="31" customFormat="false" ht="14.25" hidden="false" customHeight="false" outlineLevel="0" collapsed="false">
      <c r="A31" s="2"/>
      <c r="B31" s="43" t="s">
        <v>42</v>
      </c>
      <c r="C31" s="44" t="s">
        <v>28</v>
      </c>
      <c r="D31" s="43" t="s">
        <v>43</v>
      </c>
      <c r="E31" s="51" t="s">
        <v>44</v>
      </c>
      <c r="F31" s="46" t="s">
        <v>38</v>
      </c>
      <c r="G31" s="47" t="n">
        <v>1</v>
      </c>
      <c r="H31" s="49" t="n">
        <v>1141.18</v>
      </c>
      <c r="I31" s="49" t="n">
        <f aca="false">ROUND(H31*(100%+$I$7),2)</f>
        <v>1409.81</v>
      </c>
      <c r="J31" s="49" t="n">
        <f aca="false">ROUND(I31*G31,2)</f>
        <v>1409.81</v>
      </c>
      <c r="K31" s="50" t="n">
        <f aca="false">J31/$I$23</f>
        <v>0.00342281809943655</v>
      </c>
      <c r="L31" s="2"/>
      <c r="M31" s="2"/>
      <c r="N31" s="2"/>
      <c r="O31" s="2"/>
    </row>
    <row r="32" customFormat="false" ht="14.25" hidden="false" customHeight="false" outlineLevel="0" collapsed="false">
      <c r="A32" s="2"/>
      <c r="B32" s="43" t="s">
        <v>45</v>
      </c>
      <c r="C32" s="52" t="s">
        <v>28</v>
      </c>
      <c r="D32" s="53" t="s">
        <v>46</v>
      </c>
      <c r="E32" s="54" t="s">
        <v>47</v>
      </c>
      <c r="F32" s="55" t="s">
        <v>48</v>
      </c>
      <c r="G32" s="56" t="n">
        <f aca="false">(1.72*3)+(1*0.6)+(0.82*2.1)+(0.45*3)*0.15</f>
        <v>7.6845</v>
      </c>
      <c r="H32" s="57" t="n">
        <v>90.84</v>
      </c>
      <c r="I32" s="49" t="n">
        <f aca="false">ROUND(H32*(100%+$I$7),2)</f>
        <v>112.22</v>
      </c>
      <c r="J32" s="58" t="n">
        <f aca="false">ROUND(I32*G32,2)</f>
        <v>862.35</v>
      </c>
      <c r="K32" s="50" t="n">
        <f aca="false">J32/$I$23</f>
        <v>0.00209366310924814</v>
      </c>
      <c r="L32" s="2"/>
      <c r="M32" s="2"/>
      <c r="N32" s="2"/>
      <c r="O32" s="2"/>
    </row>
    <row r="33" customFormat="false" ht="14.25" hidden="false" customHeight="false" outlineLevel="0" collapsed="false">
      <c r="A33" s="2"/>
      <c r="B33" s="43" t="s">
        <v>49</v>
      </c>
      <c r="C33" s="52" t="s">
        <v>28</v>
      </c>
      <c r="D33" s="53" t="s">
        <v>50</v>
      </c>
      <c r="E33" s="54" t="s">
        <v>51</v>
      </c>
      <c r="F33" s="55" t="s">
        <v>31</v>
      </c>
      <c r="G33" s="56" t="n">
        <f aca="false">18+5</f>
        <v>23</v>
      </c>
      <c r="H33" s="57" t="n">
        <v>16.35</v>
      </c>
      <c r="I33" s="49" t="n">
        <f aca="false">ROUND(H33*(100%+$I$7),2)</f>
        <v>20.2</v>
      </c>
      <c r="J33" s="58" t="n">
        <f aca="false">ROUND(I33*G33,2)</f>
        <v>464.6</v>
      </c>
      <c r="K33" s="50" t="n">
        <f aca="false">J33/$I$23</f>
        <v>0.00112798269908585</v>
      </c>
      <c r="L33" s="2"/>
      <c r="M33" s="2"/>
      <c r="N33" s="2"/>
      <c r="O33" s="2"/>
    </row>
    <row r="34" customFormat="false" ht="14.25" hidden="false" customHeight="false" outlineLevel="0" collapsed="false">
      <c r="A34" s="2"/>
      <c r="B34" s="43" t="s">
        <v>52</v>
      </c>
      <c r="C34" s="52" t="s">
        <v>28</v>
      </c>
      <c r="D34" s="53" t="s">
        <v>53</v>
      </c>
      <c r="E34" s="54" t="s">
        <v>54</v>
      </c>
      <c r="F34" s="55" t="s">
        <v>31</v>
      </c>
      <c r="G34" s="56" t="n">
        <f aca="false">18+5</f>
        <v>23</v>
      </c>
      <c r="H34" s="57" t="n">
        <v>18.13</v>
      </c>
      <c r="I34" s="49" t="n">
        <f aca="false">ROUND(H34*(100%+$I$7),2)</f>
        <v>22.4</v>
      </c>
      <c r="J34" s="58" t="n">
        <f aca="false">ROUND(I34*G34,2)</f>
        <v>515.2</v>
      </c>
      <c r="K34" s="50" t="n">
        <f aca="false">J34/$I$23</f>
        <v>0.00125083229997639</v>
      </c>
      <c r="L34" s="2"/>
      <c r="M34" s="2"/>
      <c r="N34" s="2"/>
      <c r="O34" s="2"/>
    </row>
    <row r="35" customFormat="false" ht="14.25" hidden="false" customHeight="false" outlineLevel="0" collapsed="false">
      <c r="A35" s="2"/>
      <c r="B35" s="43" t="s">
        <v>55</v>
      </c>
      <c r="C35" s="52" t="s">
        <v>28</v>
      </c>
      <c r="D35" s="53" t="s">
        <v>56</v>
      </c>
      <c r="E35" s="54" t="s">
        <v>57</v>
      </c>
      <c r="F35" s="55" t="s">
        <v>31</v>
      </c>
      <c r="G35" s="56" t="n">
        <v>2.26</v>
      </c>
      <c r="H35" s="57" t="n">
        <v>63.44</v>
      </c>
      <c r="I35" s="49" t="n">
        <f aca="false">ROUND(H35*(100%+$I$7),2)</f>
        <v>78.37</v>
      </c>
      <c r="J35" s="58" t="n">
        <f aca="false">ROUND(I35*G35,2)</f>
        <v>177.12</v>
      </c>
      <c r="K35" s="50" t="n">
        <f aca="false">J35/$I$23</f>
        <v>0.000430022160271386</v>
      </c>
      <c r="L35" s="2"/>
      <c r="M35" s="2"/>
      <c r="N35" s="2"/>
      <c r="O35" s="2"/>
    </row>
    <row r="36" customFormat="false" ht="14.25" hidden="false" customHeight="false" outlineLevel="0" collapsed="false">
      <c r="A36" s="2"/>
      <c r="B36" s="43" t="s">
        <v>58</v>
      </c>
      <c r="C36" s="52" t="s">
        <v>28</v>
      </c>
      <c r="D36" s="53" t="s">
        <v>59</v>
      </c>
      <c r="E36" s="54" t="s">
        <v>60</v>
      </c>
      <c r="F36" s="55" t="s">
        <v>31</v>
      </c>
      <c r="G36" s="56" t="n">
        <v>20.92</v>
      </c>
      <c r="H36" s="57" t="n">
        <v>35.25</v>
      </c>
      <c r="I36" s="49" t="n">
        <f aca="false">ROUND(H36*(100%+$I$7),2)</f>
        <v>43.55</v>
      </c>
      <c r="J36" s="58" t="n">
        <f aca="false">ROUND(I36*G36,2)</f>
        <v>911.07</v>
      </c>
      <c r="K36" s="50" t="n">
        <f aca="false">J36/$I$23</f>
        <v>0.00221194833761547</v>
      </c>
      <c r="L36" s="2"/>
      <c r="M36" s="2"/>
      <c r="N36" s="2"/>
      <c r="O36" s="2"/>
    </row>
    <row r="37" customFormat="false" ht="14.25" hidden="false" customHeight="false" outlineLevel="0" collapsed="false">
      <c r="A37" s="2"/>
      <c r="B37" s="43" t="s">
        <v>61</v>
      </c>
      <c r="C37" s="52" t="s">
        <v>28</v>
      </c>
      <c r="D37" s="53" t="s">
        <v>62</v>
      </c>
      <c r="E37" s="54" t="s">
        <v>63</v>
      </c>
      <c r="F37" s="55" t="s">
        <v>31</v>
      </c>
      <c r="G37" s="56" t="n">
        <v>5</v>
      </c>
      <c r="H37" s="57" t="n">
        <v>34.07</v>
      </c>
      <c r="I37" s="49" t="n">
        <f aca="false">ROUND(H37*(100%+$I$7),2)</f>
        <v>42.09</v>
      </c>
      <c r="J37" s="58" t="n">
        <f aca="false">ROUND(I37*G37,2)</f>
        <v>210.45</v>
      </c>
      <c r="K37" s="50" t="n">
        <f aca="false">J37/$I$23</f>
        <v>0.000510942658249284</v>
      </c>
      <c r="L37" s="2"/>
      <c r="M37" s="2"/>
      <c r="N37" s="2"/>
      <c r="O37" s="2"/>
    </row>
    <row r="38" customFormat="false" ht="21.85" hidden="false" customHeight="true" outlineLevel="0" collapsed="false">
      <c r="B38" s="38" t="n">
        <v>2</v>
      </c>
      <c r="C38" s="38"/>
      <c r="D38" s="38"/>
      <c r="E38" s="39" t="s">
        <v>64</v>
      </c>
      <c r="F38" s="39"/>
      <c r="G38" s="39"/>
      <c r="H38" s="39"/>
      <c r="I38" s="40" t="s">
        <v>26</v>
      </c>
      <c r="J38" s="41" t="n">
        <f aca="false">SUBTOTAL(9,J39:J50)</f>
        <v>24129.68</v>
      </c>
      <c r="K38" s="42" t="n">
        <f aca="false">J38/I23</f>
        <v>0.058583429992419</v>
      </c>
    </row>
    <row r="39" customFormat="false" ht="14.25" hidden="false" customHeight="true" outlineLevel="0" collapsed="false">
      <c r="B39" s="59" t="s">
        <v>65</v>
      </c>
      <c r="C39" s="59"/>
      <c r="D39" s="59"/>
      <c r="E39" s="60" t="s">
        <v>66</v>
      </c>
      <c r="F39" s="60"/>
      <c r="G39" s="60"/>
      <c r="H39" s="60"/>
      <c r="I39" s="60"/>
      <c r="J39" s="61" t="n">
        <f aca="false">SUBTOTAL(9,J40:J40)</f>
        <v>10847.1</v>
      </c>
      <c r="K39" s="62" t="n">
        <f aca="false">J39/$I$23</f>
        <v>0.0263352155300347</v>
      </c>
    </row>
    <row r="40" customFormat="false" ht="14.25" hidden="false" customHeight="false" outlineLevel="0" collapsed="false">
      <c r="B40" s="52" t="s">
        <v>67</v>
      </c>
      <c r="C40" s="63" t="s">
        <v>28</v>
      </c>
      <c r="D40" s="43" t="s">
        <v>68</v>
      </c>
      <c r="E40" s="51" t="s">
        <v>69</v>
      </c>
      <c r="F40" s="46" t="s">
        <v>70</v>
      </c>
      <c r="G40" s="47" t="n">
        <f aca="false">22*3</f>
        <v>66</v>
      </c>
      <c r="H40" s="49" t="n">
        <v>133.03</v>
      </c>
      <c r="I40" s="49" t="n">
        <f aca="false">ROUND(H40*(100%+$I$7),2)</f>
        <v>164.35</v>
      </c>
      <c r="J40" s="49" t="n">
        <f aca="false">ROUND(I40*G40,2)</f>
        <v>10847.1</v>
      </c>
      <c r="K40" s="50" t="n">
        <f aca="false">J40/$I$23</f>
        <v>0.0263352155300347</v>
      </c>
    </row>
    <row r="41" customFormat="false" ht="14.25" hidden="false" customHeight="true" outlineLevel="0" collapsed="false">
      <c r="B41" s="59" t="s">
        <v>71</v>
      </c>
      <c r="C41" s="59"/>
      <c r="D41" s="59"/>
      <c r="E41" s="60" t="s">
        <v>72</v>
      </c>
      <c r="F41" s="60"/>
      <c r="G41" s="60"/>
      <c r="H41" s="60"/>
      <c r="I41" s="60"/>
      <c r="J41" s="61" t="n">
        <f aca="false">SUBTOTAL(9,J42:J45)</f>
        <v>3839.8</v>
      </c>
      <c r="K41" s="62" t="n">
        <f aca="false">J41/$I$23</f>
        <v>0.00932248809287527</v>
      </c>
    </row>
    <row r="42" customFormat="false" ht="14.25" hidden="false" customHeight="false" outlineLevel="0" collapsed="false">
      <c r="B42" s="52" t="s">
        <v>73</v>
      </c>
      <c r="C42" s="63" t="s">
        <v>28</v>
      </c>
      <c r="D42" s="43" t="s">
        <v>74</v>
      </c>
      <c r="E42" s="51" t="s">
        <v>75</v>
      </c>
      <c r="F42" s="46" t="s">
        <v>31</v>
      </c>
      <c r="G42" s="47" t="n">
        <v>12.08</v>
      </c>
      <c r="H42" s="49" t="n">
        <v>143.52</v>
      </c>
      <c r="I42" s="49" t="n">
        <f aca="false">ROUND(H42*(100%+$I$7),2)</f>
        <v>177.3</v>
      </c>
      <c r="J42" s="49" t="n">
        <f aca="false">ROUND(I42*G42,2)</f>
        <v>2141.78</v>
      </c>
      <c r="K42" s="50" t="n">
        <f aca="false">J42/$I$23</f>
        <v>0.00519993711848492</v>
      </c>
    </row>
    <row r="43" customFormat="false" ht="14.25" hidden="false" customHeight="false" outlineLevel="0" collapsed="false">
      <c r="B43" s="52" t="s">
        <v>76</v>
      </c>
      <c r="C43" s="63" t="s">
        <v>28</v>
      </c>
      <c r="D43" s="43" t="s">
        <v>77</v>
      </c>
      <c r="E43" s="51" t="s">
        <v>78</v>
      </c>
      <c r="F43" s="46" t="s">
        <v>48</v>
      </c>
      <c r="G43" s="47" t="n">
        <v>0.97</v>
      </c>
      <c r="H43" s="49" t="n">
        <v>868.08</v>
      </c>
      <c r="I43" s="49" t="n">
        <f aca="false">ROUND(H43*(100%+$I$7),2)</f>
        <v>1072.43</v>
      </c>
      <c r="J43" s="49" t="n">
        <f aca="false">ROUND(I43*G43,2)</f>
        <v>1040.26</v>
      </c>
      <c r="K43" s="50" t="n">
        <f aca="false">J43/$I$23</f>
        <v>0.00252560327712236</v>
      </c>
    </row>
    <row r="44" customFormat="false" ht="14.25" hidden="false" customHeight="false" outlineLevel="0" collapsed="false">
      <c r="B44" s="52" t="s">
        <v>79</v>
      </c>
      <c r="C44" s="63" t="s">
        <v>28</v>
      </c>
      <c r="D44" s="43" t="s">
        <v>80</v>
      </c>
      <c r="E44" s="51" t="s">
        <v>81</v>
      </c>
      <c r="F44" s="46" t="s">
        <v>48</v>
      </c>
      <c r="G44" s="47" t="n">
        <v>4.23</v>
      </c>
      <c r="H44" s="49" t="n">
        <v>12</v>
      </c>
      <c r="I44" s="49" t="n">
        <f aca="false">ROUND(H44*(100%+$I$7),2)</f>
        <v>14.82</v>
      </c>
      <c r="J44" s="49" t="n">
        <f aca="false">ROUND(I44*G44,2)</f>
        <v>62.69</v>
      </c>
      <c r="K44" s="50" t="n">
        <f aca="false">J44/$I$23</f>
        <v>0.000152202400787111</v>
      </c>
    </row>
    <row r="45" customFormat="false" ht="14.25" hidden="false" customHeight="false" outlineLevel="0" collapsed="false">
      <c r="B45" s="52" t="s">
        <v>82</v>
      </c>
      <c r="C45" s="63" t="s">
        <v>28</v>
      </c>
      <c r="D45" s="43" t="s">
        <v>83</v>
      </c>
      <c r="E45" s="51" t="s">
        <v>84</v>
      </c>
      <c r="F45" s="46" t="s">
        <v>48</v>
      </c>
      <c r="G45" s="47" t="n">
        <v>22.73</v>
      </c>
      <c r="H45" s="49" t="n">
        <v>21.19</v>
      </c>
      <c r="I45" s="49" t="n">
        <f aca="false">ROUND(H45*(100%+$I$7),2)</f>
        <v>26.18</v>
      </c>
      <c r="J45" s="49" t="n">
        <f aca="false">ROUND(I45*G45,2)</f>
        <v>595.07</v>
      </c>
      <c r="K45" s="50" t="n">
        <f aca="false">J45/$I$23</f>
        <v>0.00144474529648088</v>
      </c>
    </row>
    <row r="46" customFormat="false" ht="14.25" hidden="false" customHeight="true" outlineLevel="0" collapsed="false">
      <c r="B46" s="59" t="s">
        <v>85</v>
      </c>
      <c r="C46" s="59"/>
      <c r="D46" s="59"/>
      <c r="E46" s="60" t="s">
        <v>86</v>
      </c>
      <c r="F46" s="60"/>
      <c r="G46" s="60"/>
      <c r="H46" s="60"/>
      <c r="I46" s="60"/>
      <c r="J46" s="61" t="n">
        <f aca="false">SUBTOTAL(9,J47:J50)</f>
        <v>9442.78</v>
      </c>
      <c r="K46" s="62" t="n">
        <f aca="false">J46/$I$23</f>
        <v>0.022925726369509</v>
      </c>
    </row>
    <row r="47" customFormat="false" ht="14.25" hidden="false" customHeight="false" outlineLevel="0" collapsed="false">
      <c r="B47" s="52" t="s">
        <v>87</v>
      </c>
      <c r="C47" s="63" t="s">
        <v>28</v>
      </c>
      <c r="D47" s="43" t="s">
        <v>88</v>
      </c>
      <c r="E47" s="51" t="s">
        <v>89</v>
      </c>
      <c r="F47" s="46" t="s">
        <v>48</v>
      </c>
      <c r="G47" s="47" t="n">
        <v>6.83</v>
      </c>
      <c r="H47" s="49" t="n">
        <v>606.18</v>
      </c>
      <c r="I47" s="49" t="n">
        <f aca="false">ROUND(H47*(100%+$I$7),2)</f>
        <v>748.87</v>
      </c>
      <c r="J47" s="49" t="n">
        <f aca="false">ROUND(I47*G47,2)</f>
        <v>5114.78</v>
      </c>
      <c r="K47" s="50" t="n">
        <f aca="false">J47/$I$23</f>
        <v>0.0124179581352353</v>
      </c>
    </row>
    <row r="48" customFormat="false" ht="14.25" hidden="false" customHeight="false" outlineLevel="0" collapsed="false">
      <c r="B48" s="52" t="s">
        <v>90</v>
      </c>
      <c r="C48" s="63" t="s">
        <v>28</v>
      </c>
      <c r="D48" s="43" t="s">
        <v>91</v>
      </c>
      <c r="E48" s="64" t="s">
        <v>92</v>
      </c>
      <c r="F48" s="46" t="s">
        <v>48</v>
      </c>
      <c r="G48" s="65" t="n">
        <v>6.83</v>
      </c>
      <c r="H48" s="66" t="n">
        <v>95.77</v>
      </c>
      <c r="I48" s="49" t="n">
        <f aca="false">ROUND(H48*(100%+$I$7),2)</f>
        <v>118.31</v>
      </c>
      <c r="J48" s="49" t="n">
        <f aca="false">ROUND(I48*G48,2)</f>
        <v>808.06</v>
      </c>
      <c r="K48" s="50" t="n">
        <f aca="false">J48/$I$23</f>
        <v>0.00196185471335194</v>
      </c>
    </row>
    <row r="49" customFormat="false" ht="14.25" hidden="false" customHeight="false" outlineLevel="0" collapsed="false">
      <c r="B49" s="52" t="s">
        <v>93</v>
      </c>
      <c r="C49" s="63" t="s">
        <v>28</v>
      </c>
      <c r="D49" s="43" t="s">
        <v>94</v>
      </c>
      <c r="E49" s="51" t="s">
        <v>95</v>
      </c>
      <c r="F49" s="46" t="s">
        <v>96</v>
      </c>
      <c r="G49" s="47" t="n">
        <v>46.2</v>
      </c>
      <c r="H49" s="49" t="n">
        <v>10.51</v>
      </c>
      <c r="I49" s="49" t="n">
        <f aca="false">ROUND(H49*(100%+$I$7),2)</f>
        <v>12.98</v>
      </c>
      <c r="J49" s="49" t="n">
        <f aca="false">ROUND(I49*G49,2)</f>
        <v>599.68</v>
      </c>
      <c r="K49" s="50" t="n">
        <f aca="false">J49/$I$23</f>
        <v>0.00145593772059364</v>
      </c>
    </row>
    <row r="50" customFormat="false" ht="14.25" hidden="false" customHeight="false" outlineLevel="0" collapsed="false">
      <c r="B50" s="52" t="s">
        <v>97</v>
      </c>
      <c r="C50" s="63" t="s">
        <v>28</v>
      </c>
      <c r="D50" s="43" t="s">
        <v>98</v>
      </c>
      <c r="E50" s="51" t="s">
        <v>99</v>
      </c>
      <c r="F50" s="46" t="s">
        <v>96</v>
      </c>
      <c r="G50" s="47" t="n">
        <f aca="false">164.05+68.64</f>
        <v>232.69</v>
      </c>
      <c r="H50" s="49" t="n">
        <v>10.16</v>
      </c>
      <c r="I50" s="49" t="n">
        <f aca="false">ROUND(H50*(100%+$I$7),2)</f>
        <v>12.55</v>
      </c>
      <c r="J50" s="49" t="n">
        <f aca="false">ROUND(I50*G50,2)</f>
        <v>2920.26</v>
      </c>
      <c r="K50" s="50" t="n">
        <f aca="false">J50/$I$23</f>
        <v>0.00708997580032813</v>
      </c>
    </row>
    <row r="51" customFormat="false" ht="21.85" hidden="false" customHeight="true" outlineLevel="0" collapsed="false">
      <c r="B51" s="38" t="n">
        <v>3</v>
      </c>
      <c r="C51" s="38"/>
      <c r="D51" s="38"/>
      <c r="E51" s="39" t="s">
        <v>100</v>
      </c>
      <c r="F51" s="39"/>
      <c r="G51" s="39"/>
      <c r="H51" s="39"/>
      <c r="I51" s="40" t="s">
        <v>26</v>
      </c>
      <c r="J51" s="41" t="n">
        <f aca="false">SUBTOTAL(9,J52:J53)</f>
        <v>33145.9</v>
      </c>
      <c r="K51" s="42" t="n">
        <f aca="false">J51/I23</f>
        <v>0.0804735293707054</v>
      </c>
    </row>
    <row r="52" customFormat="false" ht="14.25" hidden="false" customHeight="false" outlineLevel="0" collapsed="false">
      <c r="B52" s="52" t="s">
        <v>101</v>
      </c>
      <c r="C52" s="63" t="s">
        <v>28</v>
      </c>
      <c r="D52" s="43" t="s">
        <v>102</v>
      </c>
      <c r="E52" s="51" t="s">
        <v>103</v>
      </c>
      <c r="F52" s="46" t="s">
        <v>31</v>
      </c>
      <c r="G52" s="47" t="n">
        <v>245.43</v>
      </c>
      <c r="H52" s="49" t="n">
        <v>87.01</v>
      </c>
      <c r="I52" s="49" t="n">
        <f aca="false">ROUND(H52*(100%+$I$7),2)</f>
        <v>107.49</v>
      </c>
      <c r="J52" s="49" t="n">
        <f aca="false">ROUND(I52*G52,2)</f>
        <v>26381.27</v>
      </c>
      <c r="K52" s="50" t="n">
        <f aca="false">J52/$I$23</f>
        <v>0.0640499701676982</v>
      </c>
    </row>
    <row r="53" customFormat="false" ht="14.25" hidden="false" customHeight="false" outlineLevel="0" collapsed="false">
      <c r="B53" s="52" t="s">
        <v>104</v>
      </c>
      <c r="C53" s="63" t="s">
        <v>28</v>
      </c>
      <c r="D53" s="43" t="s">
        <v>105</v>
      </c>
      <c r="E53" s="51" t="s">
        <v>106</v>
      </c>
      <c r="F53" s="46" t="s">
        <v>48</v>
      </c>
      <c r="G53" s="47" t="n">
        <v>2.9</v>
      </c>
      <c r="H53" s="49" t="n">
        <v>1888.16</v>
      </c>
      <c r="I53" s="49" t="n">
        <f aca="false">ROUND(H53*(100%+$I$7),2)</f>
        <v>2332.63</v>
      </c>
      <c r="J53" s="49" t="n">
        <f aca="false">ROUND(I53*G53,2)</f>
        <v>6764.63</v>
      </c>
      <c r="K53" s="50" t="n">
        <f aca="false">J53/$I$23</f>
        <v>0.0164235592030071</v>
      </c>
    </row>
    <row r="54" customFormat="false" ht="21.85" hidden="false" customHeight="true" outlineLevel="0" collapsed="false">
      <c r="B54" s="38" t="n">
        <v>4</v>
      </c>
      <c r="C54" s="38"/>
      <c r="D54" s="38"/>
      <c r="E54" s="39" t="s">
        <v>107</v>
      </c>
      <c r="F54" s="39"/>
      <c r="G54" s="39"/>
      <c r="H54" s="39"/>
      <c r="I54" s="40" t="s">
        <v>26</v>
      </c>
      <c r="J54" s="41" t="n">
        <f aca="false">SUBTOTAL(9,J55:J64)</f>
        <v>36109.07</v>
      </c>
      <c r="K54" s="42" t="n">
        <f aca="false">J54/I23</f>
        <v>0.0876676845460179</v>
      </c>
    </row>
    <row r="55" customFormat="false" ht="14.25" hidden="false" customHeight="true" outlineLevel="0" collapsed="false">
      <c r="B55" s="59" t="s">
        <v>108</v>
      </c>
      <c r="C55" s="59"/>
      <c r="D55" s="59"/>
      <c r="E55" s="60" t="s">
        <v>109</v>
      </c>
      <c r="F55" s="60"/>
      <c r="G55" s="60"/>
      <c r="H55" s="60"/>
      <c r="I55" s="60"/>
      <c r="J55" s="61" t="n">
        <f aca="false">SUBTOTAL(9,J56:J57)</f>
        <v>27745.66</v>
      </c>
      <c r="K55" s="62" t="n">
        <f aca="false">J55/$I$23</f>
        <v>0.0673625149692603</v>
      </c>
    </row>
    <row r="56" customFormat="false" ht="14.25" hidden="false" customHeight="false" outlineLevel="0" collapsed="false">
      <c r="B56" s="52" t="s">
        <v>110</v>
      </c>
      <c r="C56" s="63" t="s">
        <v>28</v>
      </c>
      <c r="D56" s="67" t="s">
        <v>111</v>
      </c>
      <c r="E56" s="68" t="s">
        <v>112</v>
      </c>
      <c r="F56" s="52" t="s">
        <v>31</v>
      </c>
      <c r="G56" s="47" t="n">
        <v>9.24</v>
      </c>
      <c r="H56" s="49" t="n">
        <v>1485.37</v>
      </c>
      <c r="I56" s="49" t="n">
        <f aca="false">ROUND(H56*(100%+$I$7),2)</f>
        <v>1835.03</v>
      </c>
      <c r="J56" s="49" t="n">
        <f aca="false">ROUND(I56*G56,2)</f>
        <v>16955.68</v>
      </c>
      <c r="K56" s="50" t="n">
        <f aca="false">J56/$I$23</f>
        <v>0.0411659786724838</v>
      </c>
    </row>
    <row r="57" customFormat="false" ht="14.25" hidden="false" customHeight="false" outlineLevel="0" collapsed="false">
      <c r="B57" s="52" t="s">
        <v>113</v>
      </c>
      <c r="C57" s="63" t="s">
        <v>28</v>
      </c>
      <c r="D57" s="67" t="s">
        <v>114</v>
      </c>
      <c r="E57" s="68" t="s">
        <v>115</v>
      </c>
      <c r="F57" s="52" t="s">
        <v>31</v>
      </c>
      <c r="G57" s="47" t="n">
        <v>5.88</v>
      </c>
      <c r="H57" s="49" t="n">
        <v>1485.37</v>
      </c>
      <c r="I57" s="49" t="n">
        <f aca="false">ROUND(H57*(100%+$I$7),2)</f>
        <v>1835.03</v>
      </c>
      <c r="J57" s="49" t="n">
        <f aca="false">ROUND(I57*G57,2)</f>
        <v>10789.98</v>
      </c>
      <c r="K57" s="50" t="n">
        <f aca="false">J57/$I$23</f>
        <v>0.0261965362967765</v>
      </c>
    </row>
    <row r="58" customFormat="false" ht="14.25" hidden="false" customHeight="true" outlineLevel="0" collapsed="false">
      <c r="B58" s="59" t="s">
        <v>116</v>
      </c>
      <c r="C58" s="59"/>
      <c r="D58" s="59"/>
      <c r="E58" s="60" t="s">
        <v>117</v>
      </c>
      <c r="F58" s="60"/>
      <c r="G58" s="60"/>
      <c r="H58" s="60"/>
      <c r="I58" s="60"/>
      <c r="J58" s="61" t="n">
        <f aca="false">SUBTOTAL(9,J59)</f>
        <v>5400.38</v>
      </c>
      <c r="K58" s="62" t="n">
        <f aca="false">J58/$I$23</f>
        <v>0.0131113543015266</v>
      </c>
    </row>
    <row r="59" customFormat="false" ht="14.25" hidden="false" customHeight="false" outlineLevel="0" collapsed="false">
      <c r="B59" s="52" t="s">
        <v>118</v>
      </c>
      <c r="C59" s="67" t="s">
        <v>28</v>
      </c>
      <c r="D59" s="67" t="s">
        <v>119</v>
      </c>
      <c r="E59" s="68" t="s">
        <v>120</v>
      </c>
      <c r="F59" s="52" t="s">
        <v>31</v>
      </c>
      <c r="G59" s="47" t="n">
        <v>13.2</v>
      </c>
      <c r="H59" s="49" t="n">
        <v>331.16</v>
      </c>
      <c r="I59" s="49" t="n">
        <f aca="false">ROUND(H59*(100%+$I$7),2)</f>
        <v>409.12</v>
      </c>
      <c r="J59" s="49" t="n">
        <f aca="false">ROUND(I59*G59,2)</f>
        <v>5400.38</v>
      </c>
      <c r="K59" s="50" t="n">
        <f aca="false">J59/$I$23</f>
        <v>0.0131113543015266</v>
      </c>
    </row>
    <row r="60" customFormat="false" ht="14.25" hidden="false" customHeight="true" outlineLevel="0" collapsed="false">
      <c r="B60" s="59" t="s">
        <v>121</v>
      </c>
      <c r="C60" s="59"/>
      <c r="D60" s="59"/>
      <c r="E60" s="60" t="s">
        <v>122</v>
      </c>
      <c r="F60" s="60"/>
      <c r="G60" s="60"/>
      <c r="H60" s="60"/>
      <c r="I60" s="60"/>
      <c r="J60" s="61" t="n">
        <f aca="false">SUBTOTAL(9,J61:J62)</f>
        <v>2674.13</v>
      </c>
      <c r="K60" s="62" t="n">
        <f aca="false">J60/$I$23</f>
        <v>0.00649240717844694</v>
      </c>
    </row>
    <row r="61" customFormat="false" ht="14.25" hidden="false" customHeight="false" outlineLevel="0" collapsed="false">
      <c r="B61" s="52" t="s">
        <v>123</v>
      </c>
      <c r="C61" s="63" t="s">
        <v>28</v>
      </c>
      <c r="D61" s="67" t="s">
        <v>124</v>
      </c>
      <c r="E61" s="68" t="s">
        <v>125</v>
      </c>
      <c r="F61" s="52" t="s">
        <v>31</v>
      </c>
      <c r="G61" s="47" t="n">
        <v>1.8</v>
      </c>
      <c r="H61" s="49" t="n">
        <v>1025.4</v>
      </c>
      <c r="I61" s="49" t="n">
        <f aca="false">ROUND(H61*(100%+$I$7),2)</f>
        <v>1266.78</v>
      </c>
      <c r="J61" s="49" t="n">
        <f aca="false">ROUND(I61*G61,2)</f>
        <v>2280.2</v>
      </c>
      <c r="K61" s="50" t="n">
        <f aca="false">J61/$I$23</f>
        <v>0.00553600118479457</v>
      </c>
    </row>
    <row r="62" customFormat="false" ht="14.25" hidden="false" customHeight="false" outlineLevel="0" collapsed="false">
      <c r="B62" s="52" t="s">
        <v>126</v>
      </c>
      <c r="C62" s="63" t="s">
        <v>28</v>
      </c>
      <c r="D62" s="67" t="s">
        <v>127</v>
      </c>
      <c r="E62" s="68" t="s">
        <v>128</v>
      </c>
      <c r="F62" s="52" t="s">
        <v>31</v>
      </c>
      <c r="G62" s="47" t="n">
        <v>1.8</v>
      </c>
      <c r="H62" s="49" t="n">
        <v>177.15</v>
      </c>
      <c r="I62" s="49" t="n">
        <f aca="false">ROUND(H62*(100%+$I$7),2)</f>
        <v>218.85</v>
      </c>
      <c r="J62" s="49" t="n">
        <f aca="false">ROUND(I62*G62,2)</f>
        <v>393.93</v>
      </c>
      <c r="K62" s="50" t="n">
        <f aca="false">J62/$I$23</f>
        <v>0.000956405993652366</v>
      </c>
    </row>
    <row r="63" customFormat="false" ht="14.25" hidden="false" customHeight="true" outlineLevel="0" collapsed="false">
      <c r="B63" s="59" t="s">
        <v>129</v>
      </c>
      <c r="C63" s="59"/>
      <c r="D63" s="59"/>
      <c r="E63" s="60" t="s">
        <v>130</v>
      </c>
      <c r="F63" s="60"/>
      <c r="G63" s="60"/>
      <c r="H63" s="60"/>
      <c r="I63" s="60"/>
      <c r="J63" s="61" t="n">
        <f aca="false">SUBTOTAL(9,J64)</f>
        <v>288.9</v>
      </c>
      <c r="K63" s="62" t="n">
        <f aca="false">J63/$I$23</f>
        <v>0.00070140809678412</v>
      </c>
    </row>
    <row r="64" customFormat="false" ht="14.25" hidden="false" customHeight="false" outlineLevel="0" collapsed="false">
      <c r="B64" s="52" t="s">
        <v>131</v>
      </c>
      <c r="C64" s="63" t="s">
        <v>28</v>
      </c>
      <c r="D64" s="67" t="s">
        <v>132</v>
      </c>
      <c r="E64" s="68" t="s">
        <v>133</v>
      </c>
      <c r="F64" s="69" t="s">
        <v>31</v>
      </c>
      <c r="G64" s="47" t="n">
        <v>0.36</v>
      </c>
      <c r="H64" s="49" t="n">
        <v>649.58</v>
      </c>
      <c r="I64" s="49" t="n">
        <f aca="false">ROUND(H64*(100%+$I$7),2)</f>
        <v>802.49</v>
      </c>
      <c r="J64" s="49" t="n">
        <f aca="false">ROUND(I64*G64,2)</f>
        <v>288.9</v>
      </c>
      <c r="K64" s="50" t="n">
        <f aca="false">J64/$I$23</f>
        <v>0.00070140809678412</v>
      </c>
    </row>
    <row r="65" customFormat="false" ht="21.85" hidden="false" customHeight="true" outlineLevel="0" collapsed="false">
      <c r="B65" s="38" t="n">
        <v>5</v>
      </c>
      <c r="C65" s="38"/>
      <c r="D65" s="38"/>
      <c r="E65" s="39" t="s">
        <v>134</v>
      </c>
      <c r="F65" s="39"/>
      <c r="G65" s="39"/>
      <c r="H65" s="39"/>
      <c r="I65" s="40" t="s">
        <v>26</v>
      </c>
      <c r="J65" s="41" t="n">
        <f aca="false">SUBTOTAL(9,J66:J74)</f>
        <v>60050.85</v>
      </c>
      <c r="K65" s="42" t="n">
        <f aca="false">J65/I23</f>
        <v>0.145794920071889</v>
      </c>
    </row>
    <row r="66" customFormat="false" ht="14.25" hidden="false" customHeight="true" outlineLevel="0" collapsed="false">
      <c r="B66" s="59" t="s">
        <v>135</v>
      </c>
      <c r="C66" s="59"/>
      <c r="D66" s="59"/>
      <c r="E66" s="60" t="s">
        <v>136</v>
      </c>
      <c r="F66" s="60"/>
      <c r="G66" s="60"/>
      <c r="H66" s="60"/>
      <c r="I66" s="60"/>
      <c r="J66" s="61" t="n">
        <f aca="false">SUBTOTAL(9,J67:J71)</f>
        <v>35143.54</v>
      </c>
      <c r="K66" s="62" t="n">
        <f aca="false">J66/$I$23</f>
        <v>0.085323515076693</v>
      </c>
    </row>
    <row r="67" customFormat="false" ht="14.25" hidden="false" customHeight="false" outlineLevel="0" collapsed="false">
      <c r="B67" s="52" t="s">
        <v>137</v>
      </c>
      <c r="C67" s="63" t="s">
        <v>28</v>
      </c>
      <c r="D67" s="67" t="s">
        <v>138</v>
      </c>
      <c r="E67" s="68" t="s">
        <v>139</v>
      </c>
      <c r="F67" s="69" t="s">
        <v>31</v>
      </c>
      <c r="G67" s="70" t="n">
        <v>91.29</v>
      </c>
      <c r="H67" s="49" t="n">
        <v>202.59</v>
      </c>
      <c r="I67" s="49" t="n">
        <f aca="false">ROUND(H67*(100%+$I$7),2)</f>
        <v>250.28</v>
      </c>
      <c r="J67" s="49" t="n">
        <f aca="false">ROUND(I67*G67,2)</f>
        <v>22848.06</v>
      </c>
      <c r="K67" s="50" t="n">
        <f aca="false">J67/$I$23</f>
        <v>0.0554718389747642</v>
      </c>
    </row>
    <row r="68" customFormat="false" ht="14.25" hidden="false" customHeight="false" outlineLevel="0" collapsed="false">
      <c r="B68" s="52" t="s">
        <v>140</v>
      </c>
      <c r="C68" s="63" t="s">
        <v>28</v>
      </c>
      <c r="D68" s="67" t="s">
        <v>141</v>
      </c>
      <c r="E68" s="68" t="s">
        <v>142</v>
      </c>
      <c r="F68" s="69" t="s">
        <v>48</v>
      </c>
      <c r="G68" s="70" t="n">
        <v>6.45</v>
      </c>
      <c r="H68" s="49" t="n">
        <v>568.59</v>
      </c>
      <c r="I68" s="49" t="n">
        <f aca="false">ROUND(H68*(100%+$I$7),2)</f>
        <v>702.44</v>
      </c>
      <c r="J68" s="49" t="n">
        <f aca="false">ROUND(I68*G68,2)</f>
        <v>4530.74</v>
      </c>
      <c r="K68" s="50" t="n">
        <f aca="false">J68/$I$23</f>
        <v>0.0109999921094624</v>
      </c>
    </row>
    <row r="69" customFormat="false" ht="14.25" hidden="false" customHeight="false" outlineLevel="0" collapsed="false">
      <c r="B69" s="52" t="s">
        <v>143</v>
      </c>
      <c r="C69" s="63" t="s">
        <v>28</v>
      </c>
      <c r="D69" s="67" t="s">
        <v>144</v>
      </c>
      <c r="E69" s="68" t="s">
        <v>145</v>
      </c>
      <c r="F69" s="69" t="s">
        <v>48</v>
      </c>
      <c r="G69" s="70" t="n">
        <v>6.45</v>
      </c>
      <c r="H69" s="49" t="n">
        <v>134.91</v>
      </c>
      <c r="I69" s="49" t="n">
        <f aca="false">ROUND(H69*(100%+$I$7),2)</f>
        <v>166.67</v>
      </c>
      <c r="J69" s="49" t="n">
        <f aca="false">ROUND(I69*G69,2)</f>
        <v>1075.02</v>
      </c>
      <c r="K69" s="50" t="n">
        <f aca="false">J69/$I$23</f>
        <v>0.00260999561164716</v>
      </c>
    </row>
    <row r="70" customFormat="false" ht="14.25" hidden="false" customHeight="false" outlineLevel="0" collapsed="false">
      <c r="B70" s="52" t="s">
        <v>146</v>
      </c>
      <c r="C70" s="63" t="s">
        <v>28</v>
      </c>
      <c r="D70" s="67" t="s">
        <v>98</v>
      </c>
      <c r="E70" s="68" t="s">
        <v>99</v>
      </c>
      <c r="F70" s="69" t="s">
        <v>96</v>
      </c>
      <c r="G70" s="70" t="n">
        <v>413.04</v>
      </c>
      <c r="H70" s="49" t="n">
        <v>10.16</v>
      </c>
      <c r="I70" s="49" t="n">
        <f aca="false">ROUND(H70*(100%+$I$7),2)</f>
        <v>12.55</v>
      </c>
      <c r="J70" s="49" t="n">
        <f aca="false">ROUND(I70*G70,2)</f>
        <v>5183.65</v>
      </c>
      <c r="K70" s="50" t="n">
        <f aca="false">J70/$I$23</f>
        <v>0.0125851646967636</v>
      </c>
    </row>
    <row r="71" customFormat="false" ht="14.25" hidden="false" customHeight="false" outlineLevel="0" collapsed="false">
      <c r="B71" s="52" t="s">
        <v>147</v>
      </c>
      <c r="C71" s="63" t="s">
        <v>28</v>
      </c>
      <c r="D71" s="67" t="s">
        <v>94</v>
      </c>
      <c r="E71" s="68" t="s">
        <v>95</v>
      </c>
      <c r="F71" s="69" t="s">
        <v>96</v>
      </c>
      <c r="G71" s="70" t="n">
        <v>116.03</v>
      </c>
      <c r="H71" s="49" t="n">
        <v>10.51</v>
      </c>
      <c r="I71" s="49" t="n">
        <f aca="false">ROUND(H71*(100%+$I$7),2)</f>
        <v>12.98</v>
      </c>
      <c r="J71" s="49" t="n">
        <f aca="false">ROUND(I71*G71,2)</f>
        <v>1506.07</v>
      </c>
      <c r="K71" s="50" t="n">
        <f aca="false">J71/$I$23</f>
        <v>0.00365652368405559</v>
      </c>
    </row>
    <row r="72" customFormat="false" ht="14.25" hidden="false" customHeight="true" outlineLevel="0" collapsed="false">
      <c r="B72" s="59" t="s">
        <v>148</v>
      </c>
      <c r="C72" s="59"/>
      <c r="D72" s="59"/>
      <c r="E72" s="60" t="s">
        <v>149</v>
      </c>
      <c r="F72" s="60"/>
      <c r="G72" s="60"/>
      <c r="H72" s="60"/>
      <c r="I72" s="60"/>
      <c r="J72" s="61" t="n">
        <f aca="false">SUBTOTAL(9,J73:J74)</f>
        <v>24907.31</v>
      </c>
      <c r="K72" s="62" t="n">
        <f aca="false">J72/$I$23</f>
        <v>0.0604714049951959</v>
      </c>
    </row>
    <row r="73" customFormat="false" ht="21.8" hidden="false" customHeight="false" outlineLevel="0" collapsed="false">
      <c r="B73" s="52" t="s">
        <v>150</v>
      </c>
      <c r="C73" s="63" t="s">
        <v>28</v>
      </c>
      <c r="D73" s="67" t="s">
        <v>151</v>
      </c>
      <c r="E73" s="54" t="s">
        <v>152</v>
      </c>
      <c r="F73" s="69" t="s">
        <v>31</v>
      </c>
      <c r="G73" s="47" t="n">
        <v>113.66</v>
      </c>
      <c r="H73" s="49" t="n">
        <v>158.13</v>
      </c>
      <c r="I73" s="49" t="n">
        <f aca="false">ROUND(H73*(100%+$I$7),2)</f>
        <v>195.35</v>
      </c>
      <c r="J73" s="49" t="n">
        <f aca="false">ROUND(I73*G73,2)</f>
        <v>22203.48</v>
      </c>
      <c r="K73" s="50" t="n">
        <f aca="false">J73/$I$23</f>
        <v>0.0539068904423132</v>
      </c>
    </row>
    <row r="74" customFormat="false" ht="14.25" hidden="false" customHeight="false" outlineLevel="0" collapsed="false">
      <c r="B74" s="52" t="s">
        <v>153</v>
      </c>
      <c r="C74" s="63" t="s">
        <v>28</v>
      </c>
      <c r="D74" s="67" t="s">
        <v>154</v>
      </c>
      <c r="E74" s="68" t="s">
        <v>155</v>
      </c>
      <c r="F74" s="69" t="s">
        <v>96</v>
      </c>
      <c r="G74" s="47" t="n">
        <v>214.08</v>
      </c>
      <c r="H74" s="49" t="n">
        <v>10.22</v>
      </c>
      <c r="I74" s="49" t="n">
        <f aca="false">ROUND(H74*(100%+$I$7),2)</f>
        <v>12.63</v>
      </c>
      <c r="J74" s="49" t="n">
        <f aca="false">ROUND(I74*G74,2)</f>
        <v>2703.83</v>
      </c>
      <c r="K74" s="50" t="n">
        <f aca="false">J74/$I$23</f>
        <v>0.00656451455288269</v>
      </c>
    </row>
    <row r="75" customFormat="false" ht="21.85" hidden="false" customHeight="true" outlineLevel="0" collapsed="false">
      <c r="B75" s="38" t="n">
        <v>6</v>
      </c>
      <c r="C75" s="38"/>
      <c r="D75" s="38"/>
      <c r="E75" s="39" t="s">
        <v>156</v>
      </c>
      <c r="F75" s="39"/>
      <c r="G75" s="39"/>
      <c r="H75" s="39"/>
      <c r="I75" s="71" t="s">
        <v>26</v>
      </c>
      <c r="J75" s="72" t="n">
        <f aca="false">SUBTOTAL(9,J76:J81)</f>
        <v>35131.98</v>
      </c>
      <c r="K75" s="42" t="n">
        <f aca="false">J75/$I$23</f>
        <v>0.0852954490413907</v>
      </c>
    </row>
    <row r="76" customFormat="false" ht="14.25" hidden="false" customHeight="true" outlineLevel="0" collapsed="false">
      <c r="B76" s="59" t="s">
        <v>157</v>
      </c>
      <c r="C76" s="59"/>
      <c r="D76" s="59"/>
      <c r="E76" s="60" t="s">
        <v>158</v>
      </c>
      <c r="F76" s="60"/>
      <c r="G76" s="60"/>
      <c r="H76" s="60"/>
      <c r="I76" s="60"/>
      <c r="J76" s="61" t="n">
        <f aca="false">SUBTOTAL(9,J77:J78)</f>
        <v>22130.07</v>
      </c>
      <c r="K76" s="62" t="n">
        <f aca="false">J76/$I$23</f>
        <v>0.0537286614067129</v>
      </c>
    </row>
    <row r="77" customFormat="false" ht="21.8" hidden="false" customHeight="false" outlineLevel="0" collapsed="false">
      <c r="B77" s="52" t="s">
        <v>159</v>
      </c>
      <c r="C77" s="43" t="s">
        <v>28</v>
      </c>
      <c r="D77" s="43" t="s">
        <v>160</v>
      </c>
      <c r="E77" s="73" t="s">
        <v>161</v>
      </c>
      <c r="F77" s="55" t="s">
        <v>31</v>
      </c>
      <c r="G77" s="56" t="n">
        <v>104.22</v>
      </c>
      <c r="H77" s="49" t="n">
        <v>149.21</v>
      </c>
      <c r="I77" s="49" t="n">
        <f aca="false">ROUND(H77*(100%+$I$7),2)</f>
        <v>184.33</v>
      </c>
      <c r="J77" s="49" t="n">
        <f aca="false">ROUND(I77*G77,2)</f>
        <v>19210.87</v>
      </c>
      <c r="K77" s="50" t="n">
        <f aca="false">J77/$I$23</f>
        <v>0.0466412591355734</v>
      </c>
    </row>
    <row r="78" customFormat="false" ht="14.25" hidden="false" customHeight="false" outlineLevel="0" collapsed="false">
      <c r="B78" s="52" t="s">
        <v>162</v>
      </c>
      <c r="C78" s="43" t="s">
        <v>28</v>
      </c>
      <c r="D78" s="43" t="s">
        <v>163</v>
      </c>
      <c r="E78" s="73" t="s">
        <v>164</v>
      </c>
      <c r="F78" s="55" t="s">
        <v>31</v>
      </c>
      <c r="G78" s="56" t="n">
        <v>104.22</v>
      </c>
      <c r="H78" s="74" t="n">
        <v>22.67</v>
      </c>
      <c r="I78" s="49" t="n">
        <f aca="false">ROUND(H78*(100%+$I$7),2)</f>
        <v>28.01</v>
      </c>
      <c r="J78" s="49" t="n">
        <f aca="false">ROUND(I78*G78,2)</f>
        <v>2919.2</v>
      </c>
      <c r="K78" s="50" t="n">
        <f aca="false">J78/$I$23</f>
        <v>0.00708740227113951</v>
      </c>
    </row>
    <row r="79" customFormat="false" ht="14.25" hidden="false" customHeight="true" outlineLevel="0" collapsed="false">
      <c r="B79" s="59" t="s">
        <v>165</v>
      </c>
      <c r="C79" s="59"/>
      <c r="D79" s="59"/>
      <c r="E79" s="60" t="s">
        <v>166</v>
      </c>
      <c r="F79" s="60"/>
      <c r="G79" s="60"/>
      <c r="H79" s="60"/>
      <c r="I79" s="60"/>
      <c r="J79" s="61" t="n">
        <f aca="false">SUBTOTAL(9,J80:J81)</f>
        <v>13001.91</v>
      </c>
      <c r="K79" s="62" t="n">
        <f aca="false">J79/$I$23</f>
        <v>0.0315667876346778</v>
      </c>
    </row>
    <row r="80" customFormat="false" ht="14.25" hidden="false" customHeight="false" outlineLevel="0" collapsed="false">
      <c r="B80" s="52" t="s">
        <v>167</v>
      </c>
      <c r="C80" s="43" t="s">
        <v>28</v>
      </c>
      <c r="D80" s="43" t="s">
        <v>168</v>
      </c>
      <c r="E80" s="75" t="s">
        <v>169</v>
      </c>
      <c r="F80" s="55" t="s">
        <v>70</v>
      </c>
      <c r="G80" s="56" t="n">
        <f aca="false">41.04+G81</f>
        <v>61.67</v>
      </c>
      <c r="H80" s="49" t="n">
        <v>117.45</v>
      </c>
      <c r="I80" s="49" t="n">
        <f aca="false">ROUND(H80*(100%+$I$7),2)</f>
        <v>145.1</v>
      </c>
      <c r="J80" s="49" t="n">
        <f aca="false">ROUND(I80*G80,2)</f>
        <v>8948.32</v>
      </c>
      <c r="K80" s="50" t="n">
        <f aca="false">J80/$I$23</f>
        <v>0.0217252478387514</v>
      </c>
    </row>
    <row r="81" customFormat="false" ht="14.25" hidden="false" customHeight="false" outlineLevel="0" collapsed="false">
      <c r="B81" s="52" t="s">
        <v>170</v>
      </c>
      <c r="C81" s="43" t="s">
        <v>28</v>
      </c>
      <c r="D81" s="43" t="s">
        <v>171</v>
      </c>
      <c r="E81" s="75" t="s">
        <v>172</v>
      </c>
      <c r="F81" s="55" t="s">
        <v>70</v>
      </c>
      <c r="G81" s="56" t="n">
        <v>20.63</v>
      </c>
      <c r="H81" s="49" t="n">
        <v>159.05</v>
      </c>
      <c r="I81" s="49" t="n">
        <f aca="false">ROUND(H81*(100%+$I$7),2)</f>
        <v>196.49</v>
      </c>
      <c r="J81" s="49" t="n">
        <f aca="false">ROUND(I81*G81,2)</f>
        <v>4053.59</v>
      </c>
      <c r="K81" s="50" t="n">
        <f aca="false">J81/$I$23</f>
        <v>0.00984153979592642</v>
      </c>
    </row>
    <row r="82" customFormat="false" ht="21.85" hidden="false" customHeight="true" outlineLevel="0" collapsed="false">
      <c r="B82" s="38" t="n">
        <v>7</v>
      </c>
      <c r="C82" s="38"/>
      <c r="D82" s="38"/>
      <c r="E82" s="39" t="s">
        <v>173</v>
      </c>
      <c r="F82" s="39"/>
      <c r="G82" s="39"/>
      <c r="H82" s="39"/>
      <c r="I82" s="71" t="s">
        <v>26</v>
      </c>
      <c r="J82" s="72" t="n">
        <f aca="false">SUBTOTAL(9,J83:J107)</f>
        <v>16905.21</v>
      </c>
      <c r="K82" s="42" t="n">
        <f aca="false">J82/$I$23</f>
        <v>0.0410434446930975</v>
      </c>
    </row>
    <row r="83" customFormat="false" ht="14.25" hidden="false" customHeight="true" outlineLevel="0" collapsed="false">
      <c r="B83" s="59" t="s">
        <v>174</v>
      </c>
      <c r="C83" s="59"/>
      <c r="D83" s="59"/>
      <c r="E83" s="60" t="s">
        <v>175</v>
      </c>
      <c r="F83" s="60"/>
      <c r="G83" s="60"/>
      <c r="H83" s="60"/>
      <c r="I83" s="60"/>
      <c r="J83" s="61" t="n">
        <f aca="false">SUBTOTAL(9,J84:J85)</f>
        <v>2433.5</v>
      </c>
      <c r="K83" s="62" t="n">
        <f aca="false">J83/$I$23</f>
        <v>0.00590819177405385</v>
      </c>
    </row>
    <row r="84" customFormat="false" ht="14.25" hidden="false" customHeight="false" outlineLevel="0" collapsed="false">
      <c r="B84" s="52" t="s">
        <v>176</v>
      </c>
      <c r="C84" s="43" t="s">
        <v>28</v>
      </c>
      <c r="D84" s="43" t="s">
        <v>177</v>
      </c>
      <c r="E84" s="75" t="s">
        <v>178</v>
      </c>
      <c r="F84" s="55" t="s">
        <v>70</v>
      </c>
      <c r="G84" s="56" t="n">
        <v>50</v>
      </c>
      <c r="H84" s="49" t="n">
        <v>34.03</v>
      </c>
      <c r="I84" s="49" t="n">
        <f aca="false">ROUND(H84*(100%+$I$7),2)</f>
        <v>42.04</v>
      </c>
      <c r="J84" s="49" t="n">
        <f aca="false">ROUND(I84*G84,2)</f>
        <v>2102</v>
      </c>
      <c r="K84" s="50" t="n">
        <f aca="false">J84/$I$23</f>
        <v>0.00510335693818007</v>
      </c>
    </row>
    <row r="85" customFormat="false" ht="14.25" hidden="false" customHeight="false" outlineLevel="0" collapsed="false">
      <c r="B85" s="52" t="s">
        <v>179</v>
      </c>
      <c r="C85" s="43" t="s">
        <v>28</v>
      </c>
      <c r="D85" s="43" t="s">
        <v>180</v>
      </c>
      <c r="E85" s="73" t="s">
        <v>181</v>
      </c>
      <c r="F85" s="55" t="s">
        <v>70</v>
      </c>
      <c r="G85" s="56" t="n">
        <v>5</v>
      </c>
      <c r="H85" s="49" t="n">
        <v>53.67</v>
      </c>
      <c r="I85" s="49" t="n">
        <f aca="false">ROUND(H85*(100%+$I$7),2)</f>
        <v>66.3</v>
      </c>
      <c r="J85" s="49" t="n">
        <f aca="false">ROUND(I85*G85,2)</f>
        <v>331.5</v>
      </c>
      <c r="K85" s="50" t="n">
        <f aca="false">J85/$I$23</f>
        <v>0.000804834835873783</v>
      </c>
    </row>
    <row r="86" customFormat="false" ht="14.25" hidden="false" customHeight="true" outlineLevel="0" collapsed="false">
      <c r="B86" s="59" t="s">
        <v>182</v>
      </c>
      <c r="C86" s="59"/>
      <c r="D86" s="59"/>
      <c r="E86" s="60" t="s">
        <v>183</v>
      </c>
      <c r="F86" s="60"/>
      <c r="G86" s="60"/>
      <c r="H86" s="60"/>
      <c r="I86" s="60"/>
      <c r="J86" s="61" t="n">
        <f aca="false">SUBTOTAL(9,J87:J88)</f>
        <v>920.78</v>
      </c>
      <c r="K86" s="62" t="n">
        <f aca="false">J86/$I$23</f>
        <v>0.00223552283612628</v>
      </c>
    </row>
    <row r="87" customFormat="false" ht="14.25" hidden="false" customHeight="false" outlineLevel="0" collapsed="false">
      <c r="B87" s="52" t="s">
        <v>184</v>
      </c>
      <c r="C87" s="43" t="s">
        <v>28</v>
      </c>
      <c r="D87" s="43" t="s">
        <v>185</v>
      </c>
      <c r="E87" s="75" t="s">
        <v>186</v>
      </c>
      <c r="F87" s="55" t="s">
        <v>38</v>
      </c>
      <c r="G87" s="56" t="n">
        <v>1</v>
      </c>
      <c r="H87" s="49" t="n">
        <v>630.32</v>
      </c>
      <c r="I87" s="49" t="n">
        <f aca="false">ROUND(H87*(100%+$I$7),2)</f>
        <v>778.7</v>
      </c>
      <c r="J87" s="49" t="n">
        <f aca="false">ROUND(I87*G87,2)</f>
        <v>778.7</v>
      </c>
      <c r="K87" s="50" t="n">
        <f aca="false">J87/$I$23</f>
        <v>0.00189057281054273</v>
      </c>
    </row>
    <row r="88" customFormat="false" ht="14.25" hidden="false" customHeight="false" outlineLevel="0" collapsed="false">
      <c r="B88" s="52" t="s">
        <v>187</v>
      </c>
      <c r="C88" s="43" t="s">
        <v>28</v>
      </c>
      <c r="D88" s="43" t="s">
        <v>188</v>
      </c>
      <c r="E88" s="75" t="s">
        <v>189</v>
      </c>
      <c r="F88" s="55" t="s">
        <v>38</v>
      </c>
      <c r="G88" s="56" t="n">
        <v>1</v>
      </c>
      <c r="H88" s="49" t="n">
        <v>115.01</v>
      </c>
      <c r="I88" s="49" t="n">
        <f aca="false">ROUND(H88*(100%+$I$7),2)</f>
        <v>142.08</v>
      </c>
      <c r="J88" s="49" t="n">
        <f aca="false">ROUND(I88*G88,2)</f>
        <v>142.08</v>
      </c>
      <c r="K88" s="50" t="n">
        <f aca="false">J88/$I$23</f>
        <v>0.000344950025583551</v>
      </c>
    </row>
    <row r="89" customFormat="false" ht="14.25" hidden="false" customHeight="true" outlineLevel="0" collapsed="false">
      <c r="B89" s="59" t="s">
        <v>190</v>
      </c>
      <c r="C89" s="59"/>
      <c r="D89" s="59"/>
      <c r="E89" s="60" t="s">
        <v>191</v>
      </c>
      <c r="F89" s="60"/>
      <c r="G89" s="60"/>
      <c r="H89" s="60"/>
      <c r="I89" s="60"/>
      <c r="J89" s="61" t="n">
        <f aca="false">SUBTOTAL(9,J90:J93)</f>
        <v>4990.13</v>
      </c>
      <c r="K89" s="62" t="n">
        <f aca="false">J89/$I$23</f>
        <v>0.0121153256698004</v>
      </c>
    </row>
    <row r="90" customFormat="false" ht="21.8" hidden="false" customHeight="false" outlineLevel="0" collapsed="false">
      <c r="B90" s="43" t="s">
        <v>192</v>
      </c>
      <c r="C90" s="43" t="s">
        <v>28</v>
      </c>
      <c r="D90" s="43" t="s">
        <v>193</v>
      </c>
      <c r="E90" s="73" t="s">
        <v>194</v>
      </c>
      <c r="F90" s="43" t="s">
        <v>70</v>
      </c>
      <c r="G90" s="56" t="n">
        <v>8</v>
      </c>
      <c r="H90" s="75" t="n">
        <v>48.61</v>
      </c>
      <c r="I90" s="49" t="n">
        <f aca="false">ROUND(H90*(100%+$I$7),2)</f>
        <v>60.05</v>
      </c>
      <c r="J90" s="49" t="n">
        <f aca="false">ROUND(I90*G90,2)</f>
        <v>480.4</v>
      </c>
      <c r="K90" s="50" t="n">
        <f aca="false">J90/$I$23</f>
        <v>0.00116634285114258</v>
      </c>
    </row>
    <row r="91" customFormat="false" ht="21.8" hidden="false" customHeight="false" outlineLevel="0" collapsed="false">
      <c r="B91" s="43" t="s">
        <v>195</v>
      </c>
      <c r="C91" s="43" t="s">
        <v>28</v>
      </c>
      <c r="D91" s="43" t="s">
        <v>196</v>
      </c>
      <c r="E91" s="73" t="s">
        <v>197</v>
      </c>
      <c r="F91" s="43" t="s">
        <v>70</v>
      </c>
      <c r="G91" s="56" t="n">
        <v>32</v>
      </c>
      <c r="H91" s="75" t="n">
        <v>84.15</v>
      </c>
      <c r="I91" s="49" t="n">
        <f aca="false">ROUND(H91*(100%+$I$7),2)</f>
        <v>103.96</v>
      </c>
      <c r="J91" s="49" t="n">
        <f aca="false">ROUND(I91*G91,2)</f>
        <v>3326.72</v>
      </c>
      <c r="K91" s="50" t="n">
        <f aca="false">J91/$I$23</f>
        <v>0.00807680285127611</v>
      </c>
    </row>
    <row r="92" customFormat="false" ht="21.8" hidden="false" customHeight="false" outlineLevel="0" collapsed="false">
      <c r="B92" s="43" t="s">
        <v>198</v>
      </c>
      <c r="C92" s="43" t="s">
        <v>28</v>
      </c>
      <c r="D92" s="43" t="s">
        <v>199</v>
      </c>
      <c r="E92" s="73" t="s">
        <v>200</v>
      </c>
      <c r="F92" s="43" t="s">
        <v>70</v>
      </c>
      <c r="G92" s="56" t="n">
        <v>6</v>
      </c>
      <c r="H92" s="75" t="n">
        <v>76.99</v>
      </c>
      <c r="I92" s="49" t="n">
        <f aca="false">ROUND(H92*(100%+$I$7),2)</f>
        <v>95.11</v>
      </c>
      <c r="J92" s="49" t="n">
        <f aca="false">ROUND(I92*G92,2)</f>
        <v>570.66</v>
      </c>
      <c r="K92" s="50" t="n">
        <f aca="false">J92/$I$23</f>
        <v>0.00138548128941096</v>
      </c>
    </row>
    <row r="93" customFormat="false" ht="14.25" hidden="false" customHeight="false" outlineLevel="0" collapsed="false">
      <c r="B93" s="43" t="s">
        <v>201</v>
      </c>
      <c r="C93" s="43" t="s">
        <v>28</v>
      </c>
      <c r="D93" s="43" t="s">
        <v>202</v>
      </c>
      <c r="E93" s="73" t="s">
        <v>203</v>
      </c>
      <c r="F93" s="43" t="s">
        <v>38</v>
      </c>
      <c r="G93" s="56" t="n">
        <v>1</v>
      </c>
      <c r="H93" s="75" t="n">
        <v>495.67</v>
      </c>
      <c r="I93" s="49" t="n">
        <f aca="false">ROUND(H93*(100%+$I$7),2)</f>
        <v>612.35</v>
      </c>
      <c r="J93" s="49" t="n">
        <f aca="false">ROUND(I93*G93,2)</f>
        <v>612.35</v>
      </c>
      <c r="K93" s="50" t="n">
        <f aca="false">J93/$I$23</f>
        <v>0.00148669867797077</v>
      </c>
    </row>
    <row r="94" customFormat="false" ht="14.25" hidden="false" customHeight="true" outlineLevel="0" collapsed="false">
      <c r="B94" s="59" t="s">
        <v>204</v>
      </c>
      <c r="C94" s="59"/>
      <c r="D94" s="59"/>
      <c r="E94" s="60" t="s">
        <v>205</v>
      </c>
      <c r="F94" s="60"/>
      <c r="G94" s="60"/>
      <c r="H94" s="60"/>
      <c r="I94" s="60"/>
      <c r="J94" s="61" t="n">
        <f aca="false">SUBTOTAL(9,J95:J96)</f>
        <v>855.73</v>
      </c>
      <c r="K94" s="62" t="n">
        <f aca="false">J94/$I$23</f>
        <v>0.00207759069110791</v>
      </c>
    </row>
    <row r="95" customFormat="false" ht="14.25" hidden="false" customHeight="false" outlineLevel="0" collapsed="false">
      <c r="B95" s="52" t="s">
        <v>206</v>
      </c>
      <c r="C95" s="43" t="s">
        <v>28</v>
      </c>
      <c r="D95" s="43" t="s">
        <v>207</v>
      </c>
      <c r="E95" s="75" t="s">
        <v>208</v>
      </c>
      <c r="F95" s="55" t="s">
        <v>38</v>
      </c>
      <c r="G95" s="56" t="n">
        <v>1</v>
      </c>
      <c r="H95" s="49" t="n">
        <v>373.66</v>
      </c>
      <c r="I95" s="49" t="n">
        <f aca="false">ROUND(H95*(100%+$I$7),2)</f>
        <v>461.62</v>
      </c>
      <c r="J95" s="49" t="n">
        <f aca="false">ROUND(I95*G95,2)</f>
        <v>461.62</v>
      </c>
      <c r="K95" s="50" t="n">
        <f aca="false">J95/$I$23</f>
        <v>0.00112074768306502</v>
      </c>
    </row>
    <row r="96" customFormat="false" ht="14.25" hidden="false" customHeight="false" outlineLevel="0" collapsed="false">
      <c r="B96" s="52" t="s">
        <v>209</v>
      </c>
      <c r="C96" s="43" t="s">
        <v>28</v>
      </c>
      <c r="D96" s="43" t="s">
        <v>210</v>
      </c>
      <c r="E96" s="75" t="s">
        <v>211</v>
      </c>
      <c r="F96" s="55" t="s">
        <v>38</v>
      </c>
      <c r="G96" s="56" t="n">
        <v>3</v>
      </c>
      <c r="H96" s="49" t="n">
        <v>106.34</v>
      </c>
      <c r="I96" s="49" t="n">
        <f aca="false">ROUND(H96*(100%+$I$7),2)</f>
        <v>131.37</v>
      </c>
      <c r="J96" s="49" t="n">
        <f aca="false">ROUND(I96*G96,2)</f>
        <v>394.11</v>
      </c>
      <c r="K96" s="50" t="n">
        <f aca="false">J96/$I$23</f>
        <v>0.000956843008042886</v>
      </c>
    </row>
    <row r="97" customFormat="false" ht="14.25" hidden="false" customHeight="true" outlineLevel="0" collapsed="false">
      <c r="B97" s="59" t="s">
        <v>212</v>
      </c>
      <c r="C97" s="59"/>
      <c r="D97" s="59"/>
      <c r="E97" s="60" t="s">
        <v>213</v>
      </c>
      <c r="F97" s="60"/>
      <c r="G97" s="60"/>
      <c r="H97" s="60"/>
      <c r="I97" s="60"/>
      <c r="J97" s="61" t="n">
        <f aca="false">SUBTOTAL(9,J98:J107)</f>
        <v>7705.07</v>
      </c>
      <c r="K97" s="62" t="n">
        <f aca="false">J97/$I$23</f>
        <v>0.0187068137220091</v>
      </c>
    </row>
    <row r="98" customFormat="false" ht="14.25" hidden="false" customHeight="false" outlineLevel="0" collapsed="false">
      <c r="B98" s="52" t="s">
        <v>214</v>
      </c>
      <c r="C98" s="63" t="s">
        <v>215</v>
      </c>
      <c r="D98" s="67" t="n">
        <v>95469</v>
      </c>
      <c r="E98" s="54" t="s">
        <v>216</v>
      </c>
      <c r="F98" s="76" t="s">
        <v>38</v>
      </c>
      <c r="G98" s="56" t="n">
        <v>2</v>
      </c>
      <c r="H98" s="49" t="n">
        <v>293.54</v>
      </c>
      <c r="I98" s="49" t="n">
        <f aca="false">ROUND(H98*(100%+$I$7),2)</f>
        <v>362.64</v>
      </c>
      <c r="J98" s="49" t="n">
        <f aca="false">ROUND(I98*G98,2)</f>
        <v>725.28</v>
      </c>
      <c r="K98" s="50" t="n">
        <f aca="false">J98/$I$23</f>
        <v>0.00176087665086738</v>
      </c>
    </row>
    <row r="99" customFormat="false" ht="21.8" hidden="false" customHeight="false" outlineLevel="0" collapsed="false">
      <c r="B99" s="52" t="s">
        <v>217</v>
      </c>
      <c r="C99" s="63" t="s">
        <v>215</v>
      </c>
      <c r="D99" s="67" t="n">
        <v>99635</v>
      </c>
      <c r="E99" s="54" t="s">
        <v>218</v>
      </c>
      <c r="F99" s="76" t="s">
        <v>38</v>
      </c>
      <c r="G99" s="56" t="n">
        <v>2</v>
      </c>
      <c r="H99" s="49" t="n">
        <v>462.72</v>
      </c>
      <c r="I99" s="49" t="n">
        <f aca="false">ROUND(H99*(100%+$I$7),2)</f>
        <v>571.64</v>
      </c>
      <c r="J99" s="49" t="n">
        <f aca="false">ROUND(I99*G99,2)</f>
        <v>1143.28</v>
      </c>
      <c r="K99" s="50" t="n">
        <f aca="false">J99/$I$23</f>
        <v>0.00277572117996313</v>
      </c>
    </row>
    <row r="100" customFormat="false" ht="14.25" hidden="false" customHeight="false" outlineLevel="0" collapsed="false">
      <c r="B100" s="52" t="s">
        <v>219</v>
      </c>
      <c r="C100" s="63" t="s">
        <v>28</v>
      </c>
      <c r="D100" s="67" t="s">
        <v>220</v>
      </c>
      <c r="E100" s="54" t="s">
        <v>221</v>
      </c>
      <c r="F100" s="76" t="s">
        <v>38</v>
      </c>
      <c r="G100" s="56" t="n">
        <v>2</v>
      </c>
      <c r="H100" s="49" t="n">
        <v>642.88</v>
      </c>
      <c r="I100" s="49" t="n">
        <f aca="false">ROUND(H100*(100%+$I$7),2)</f>
        <v>794.21</v>
      </c>
      <c r="J100" s="49" t="n">
        <f aca="false">ROUND(I100*G100,2)</f>
        <v>1588.42</v>
      </c>
      <c r="K100" s="50" t="n">
        <f aca="false">J100/$I$23</f>
        <v>0.00385645776771835</v>
      </c>
    </row>
    <row r="101" customFormat="false" ht="14.25" hidden="false" customHeight="false" outlineLevel="0" collapsed="false">
      <c r="B101" s="52" t="s">
        <v>222</v>
      </c>
      <c r="C101" s="63" t="s">
        <v>28</v>
      </c>
      <c r="D101" s="67" t="s">
        <v>223</v>
      </c>
      <c r="E101" s="54" t="s">
        <v>224</v>
      </c>
      <c r="F101" s="76" t="s">
        <v>38</v>
      </c>
      <c r="G101" s="56" t="n">
        <v>3</v>
      </c>
      <c r="H101" s="49" t="n">
        <v>76.22</v>
      </c>
      <c r="I101" s="49" t="n">
        <f aca="false">ROUND(H101*(100%+$I$7),2)</f>
        <v>94.16</v>
      </c>
      <c r="J101" s="49" t="n">
        <f aca="false">ROUND(I101*G101,2)</f>
        <v>282.48</v>
      </c>
      <c r="K101" s="50" t="n">
        <f aca="false">J101/$I$23</f>
        <v>0.000685821250188918</v>
      </c>
    </row>
    <row r="102" customFormat="false" ht="14.25" hidden="false" customHeight="false" outlineLevel="0" collapsed="false">
      <c r="B102" s="52" t="s">
        <v>225</v>
      </c>
      <c r="C102" s="63" t="s">
        <v>28</v>
      </c>
      <c r="D102" s="67" t="s">
        <v>226</v>
      </c>
      <c r="E102" s="54" t="s">
        <v>227</v>
      </c>
      <c r="F102" s="55" t="s">
        <v>31</v>
      </c>
      <c r="G102" s="56" t="n">
        <f aca="false">(0.5*0.5)*2</f>
        <v>0.5</v>
      </c>
      <c r="H102" s="49" t="n">
        <v>585.63</v>
      </c>
      <c r="I102" s="49" t="n">
        <f aca="false">ROUND(H102*(100%+$I$7),2)</f>
        <v>723.49</v>
      </c>
      <c r="J102" s="49" t="n">
        <f aca="false">ROUND(I102*G102,2)</f>
        <v>361.75</v>
      </c>
      <c r="K102" s="50" t="n">
        <f aca="false">J102/$I$23</f>
        <v>0.000878277532058344</v>
      </c>
    </row>
    <row r="103" customFormat="false" ht="14.25" hidden="false" customHeight="false" outlineLevel="0" collapsed="false">
      <c r="B103" s="52" t="s">
        <v>228</v>
      </c>
      <c r="C103" s="63" t="s">
        <v>28</v>
      </c>
      <c r="D103" s="67" t="s">
        <v>229</v>
      </c>
      <c r="E103" s="54" t="s">
        <v>230</v>
      </c>
      <c r="F103" s="76" t="s">
        <v>38</v>
      </c>
      <c r="G103" s="56" t="n">
        <v>2</v>
      </c>
      <c r="H103" s="49" t="n">
        <v>627.26</v>
      </c>
      <c r="I103" s="49" t="n">
        <f aca="false">ROUND(H103*(100%+$I$7),2)</f>
        <v>774.92</v>
      </c>
      <c r="J103" s="49" t="n">
        <f aca="false">ROUND(I103*G103,2)</f>
        <v>1549.84</v>
      </c>
      <c r="K103" s="50" t="n">
        <f aca="false">J103/$I$23</f>
        <v>0.00376279101668363</v>
      </c>
    </row>
    <row r="104" customFormat="false" ht="22.35" hidden="false" customHeight="false" outlineLevel="0" collapsed="false">
      <c r="B104" s="52" t="s">
        <v>231</v>
      </c>
      <c r="C104" s="63" t="s">
        <v>215</v>
      </c>
      <c r="D104" s="67" t="n">
        <v>89985</v>
      </c>
      <c r="E104" s="54" t="s">
        <v>232</v>
      </c>
      <c r="F104" s="76" t="s">
        <v>38</v>
      </c>
      <c r="G104" s="56" t="n">
        <v>3</v>
      </c>
      <c r="H104" s="49" t="n">
        <v>78.79</v>
      </c>
      <c r="I104" s="49" t="n">
        <f aca="false">ROUND(H104*(100%+$I$7),2)</f>
        <v>97.34</v>
      </c>
      <c r="J104" s="49" t="n">
        <f aca="false">ROUND(I104*G104,2)</f>
        <v>292.02</v>
      </c>
      <c r="K104" s="50" t="n">
        <f aca="false">J104/$I$23</f>
        <v>0.000708983012886462</v>
      </c>
    </row>
    <row r="105" customFormat="false" ht="14.25" hidden="false" customHeight="false" outlineLevel="0" collapsed="false">
      <c r="B105" s="52" t="s">
        <v>233</v>
      </c>
      <c r="C105" s="63" t="s">
        <v>28</v>
      </c>
      <c r="D105" s="67" t="s">
        <v>234</v>
      </c>
      <c r="E105" s="54" t="s">
        <v>235</v>
      </c>
      <c r="F105" s="76" t="s">
        <v>38</v>
      </c>
      <c r="G105" s="56" t="n">
        <v>4</v>
      </c>
      <c r="H105" s="49" t="n">
        <v>153.82</v>
      </c>
      <c r="I105" s="49" t="n">
        <f aca="false">ROUND(H105*(100%+$I$7),2)</f>
        <v>190.03</v>
      </c>
      <c r="J105" s="49" t="n">
        <f aca="false">ROUND(I105*G105,2)</f>
        <v>760.12</v>
      </c>
      <c r="K105" s="50" t="n">
        <f aca="false">J105/$I$23</f>
        <v>0.0018454632140102</v>
      </c>
    </row>
    <row r="106" customFormat="false" ht="14.25" hidden="false" customHeight="false" outlineLevel="0" collapsed="false">
      <c r="B106" s="52" t="s">
        <v>236</v>
      </c>
      <c r="C106" s="63" t="s">
        <v>215</v>
      </c>
      <c r="D106" s="67" t="n">
        <v>86883</v>
      </c>
      <c r="E106" s="54" t="s">
        <v>237</v>
      </c>
      <c r="F106" s="76" t="s">
        <v>38</v>
      </c>
      <c r="G106" s="56" t="n">
        <v>4</v>
      </c>
      <c r="H106" s="49" t="n">
        <v>14.76</v>
      </c>
      <c r="I106" s="49" t="n">
        <f aca="false">ROUND(H106*(100%+$I$7),2)</f>
        <v>18.23</v>
      </c>
      <c r="J106" s="49" t="n">
        <f aca="false">ROUND(I106*G106,2)</f>
        <v>72.92</v>
      </c>
      <c r="K106" s="50" t="n">
        <f aca="false">J106/$I$23</f>
        <v>0.000177039385314981</v>
      </c>
    </row>
    <row r="107" customFormat="false" ht="21.8" hidden="false" customHeight="false" outlineLevel="0" collapsed="false">
      <c r="B107" s="52" t="s">
        <v>238</v>
      </c>
      <c r="C107" s="63" t="s">
        <v>28</v>
      </c>
      <c r="D107" s="67" t="s">
        <v>239</v>
      </c>
      <c r="E107" s="54" t="s">
        <v>240</v>
      </c>
      <c r="F107" s="76" t="s">
        <v>38</v>
      </c>
      <c r="G107" s="56" t="n">
        <v>4</v>
      </c>
      <c r="H107" s="49" t="n">
        <v>187.99</v>
      </c>
      <c r="I107" s="49" t="n">
        <f aca="false">ROUND(H107*(100%+$I$7),2)</f>
        <v>232.24</v>
      </c>
      <c r="J107" s="49" t="n">
        <f aca="false">ROUND(I107*G107,2)</f>
        <v>928.96</v>
      </c>
      <c r="K107" s="50" t="n">
        <f aca="false">J107/$I$23</f>
        <v>0.00225538271231768</v>
      </c>
    </row>
    <row r="108" customFormat="false" ht="21.85" hidden="false" customHeight="true" outlineLevel="0" collapsed="false">
      <c r="B108" s="38" t="n">
        <v>8</v>
      </c>
      <c r="C108" s="38"/>
      <c r="D108" s="38"/>
      <c r="E108" s="39" t="s">
        <v>241</v>
      </c>
      <c r="F108" s="39"/>
      <c r="G108" s="39"/>
      <c r="H108" s="39"/>
      <c r="I108" s="71" t="s">
        <v>26</v>
      </c>
      <c r="J108" s="72" t="n">
        <f aca="false">SUBTOTAL(9,J109:J128)</f>
        <v>27764.12</v>
      </c>
      <c r="K108" s="42" t="n">
        <f aca="false">J108/$I$23</f>
        <v>0.0674073332228658</v>
      </c>
    </row>
    <row r="109" customFormat="false" ht="14.25" hidden="false" customHeight="true" outlineLevel="0" collapsed="false">
      <c r="B109" s="59" t="s">
        <v>242</v>
      </c>
      <c r="C109" s="59"/>
      <c r="D109" s="59"/>
      <c r="E109" s="60" t="s">
        <v>243</v>
      </c>
      <c r="F109" s="60"/>
      <c r="G109" s="60"/>
      <c r="H109" s="60"/>
      <c r="I109" s="60"/>
      <c r="J109" s="61" t="n">
        <f aca="false">SUBTOTAL(9,J110:J121)</f>
        <v>25145.96</v>
      </c>
      <c r="K109" s="62" t="n">
        <f aca="false">J109/$I$23</f>
        <v>0.0610508132412932</v>
      </c>
    </row>
    <row r="110" customFormat="false" ht="32.3" hidden="false" customHeight="false" outlineLevel="0" collapsed="false">
      <c r="B110" s="52" t="s">
        <v>244</v>
      </c>
      <c r="C110" s="63" t="s">
        <v>215</v>
      </c>
      <c r="D110" s="77" t="n">
        <v>101880</v>
      </c>
      <c r="E110" s="54" t="s">
        <v>245</v>
      </c>
      <c r="F110" s="76" t="s">
        <v>38</v>
      </c>
      <c r="G110" s="56" t="n">
        <v>1</v>
      </c>
      <c r="H110" s="58" t="n">
        <v>547.89</v>
      </c>
      <c r="I110" s="49" t="n">
        <f aca="false">ROUND(H110*(100%+$I$7),2)</f>
        <v>676.86</v>
      </c>
      <c r="J110" s="58" t="n">
        <f aca="false">ROUND(I110*G110,2)</f>
        <v>676.86</v>
      </c>
      <c r="K110" s="50" t="n">
        <f aca="false">J110/$I$23</f>
        <v>0.00164331977981758</v>
      </c>
    </row>
    <row r="111" customFormat="false" ht="21.8" hidden="false" customHeight="false" outlineLevel="0" collapsed="false">
      <c r="B111" s="52" t="s">
        <v>246</v>
      </c>
      <c r="C111" s="63" t="s">
        <v>215</v>
      </c>
      <c r="D111" s="77" t="n">
        <v>93660</v>
      </c>
      <c r="E111" s="54" t="s">
        <v>247</v>
      </c>
      <c r="F111" s="76" t="s">
        <v>38</v>
      </c>
      <c r="G111" s="56" t="n">
        <v>3</v>
      </c>
      <c r="H111" s="58" t="n">
        <v>55.54</v>
      </c>
      <c r="I111" s="49" t="n">
        <f aca="false">ROUND(H111*(100%+$I$7),2)</f>
        <v>68.61</v>
      </c>
      <c r="J111" s="58" t="n">
        <f aca="false">ROUND(I111*G111,2)</f>
        <v>205.83</v>
      </c>
      <c r="K111" s="50" t="n">
        <f aca="false">J111/$I$23</f>
        <v>0.000499725955559278</v>
      </c>
    </row>
    <row r="112" customFormat="false" ht="21.8" hidden="false" customHeight="false" outlineLevel="0" collapsed="false">
      <c r="B112" s="52" t="s">
        <v>248</v>
      </c>
      <c r="C112" s="63" t="s">
        <v>215</v>
      </c>
      <c r="D112" s="77" t="n">
        <v>93661</v>
      </c>
      <c r="E112" s="54" t="s">
        <v>249</v>
      </c>
      <c r="F112" s="76" t="s">
        <v>38</v>
      </c>
      <c r="G112" s="56" t="n">
        <v>6</v>
      </c>
      <c r="H112" s="58" t="n">
        <v>57.41</v>
      </c>
      <c r="I112" s="49" t="n">
        <f aca="false">ROUND(H112*(100%+$I$7),2)</f>
        <v>70.92</v>
      </c>
      <c r="J112" s="58" t="n">
        <f aca="false">ROUND(I112*G112,2)</f>
        <v>425.52</v>
      </c>
      <c r="K112" s="50" t="n">
        <f aca="false">J112/$I$23</f>
        <v>0.00103310201918857</v>
      </c>
    </row>
    <row r="113" customFormat="false" ht="14.25" hidden="false" customHeight="false" outlineLevel="0" collapsed="false">
      <c r="B113" s="52" t="s">
        <v>250</v>
      </c>
      <c r="C113" s="63" t="s">
        <v>28</v>
      </c>
      <c r="D113" s="78" t="s">
        <v>251</v>
      </c>
      <c r="E113" s="54" t="s">
        <v>252</v>
      </c>
      <c r="F113" s="76" t="s">
        <v>38</v>
      </c>
      <c r="G113" s="56" t="n">
        <v>1</v>
      </c>
      <c r="H113" s="58" t="n">
        <v>346.66</v>
      </c>
      <c r="I113" s="49" t="n">
        <f aca="false">ROUND(H113*(100%+$I$7),2)</f>
        <v>428.26</v>
      </c>
      <c r="J113" s="58" t="n">
        <f aca="false">ROUND(I113*G113,2)</f>
        <v>428.26</v>
      </c>
      <c r="K113" s="50" t="n">
        <f aca="false">J113/$I$23</f>
        <v>0.00103975434935537</v>
      </c>
    </row>
    <row r="114" customFormat="false" ht="22.35" hidden="false" customHeight="false" outlineLevel="0" collapsed="false">
      <c r="B114" s="52" t="s">
        <v>253</v>
      </c>
      <c r="C114" s="63" t="s">
        <v>215</v>
      </c>
      <c r="D114" s="67" t="n">
        <v>91856</v>
      </c>
      <c r="E114" s="54" t="s">
        <v>254</v>
      </c>
      <c r="F114" s="55" t="s">
        <v>70</v>
      </c>
      <c r="G114" s="56" t="n">
        <v>50</v>
      </c>
      <c r="H114" s="58" t="n">
        <v>15.15</v>
      </c>
      <c r="I114" s="49" t="n">
        <f aca="false">ROUND(H114*(100%+$I$7),2)</f>
        <v>18.72</v>
      </c>
      <c r="J114" s="58" t="n">
        <f aca="false">ROUND(I114*G114,2)</f>
        <v>936</v>
      </c>
      <c r="K114" s="50" t="n">
        <f aca="false">J114/$I$23</f>
        <v>0.00227247483070245</v>
      </c>
    </row>
    <row r="115" customFormat="false" ht="22.35" hidden="false" customHeight="false" outlineLevel="0" collapsed="false">
      <c r="B115" s="52" t="s">
        <v>255</v>
      </c>
      <c r="C115" s="63" t="s">
        <v>215</v>
      </c>
      <c r="D115" s="67" t="n">
        <v>91850</v>
      </c>
      <c r="E115" s="54" t="s">
        <v>256</v>
      </c>
      <c r="F115" s="55" t="s">
        <v>70</v>
      </c>
      <c r="G115" s="56" t="n">
        <v>50</v>
      </c>
      <c r="H115" s="58" t="n">
        <v>13.03</v>
      </c>
      <c r="I115" s="49" t="n">
        <f aca="false">ROUND(H115*(100%+$I$7),2)</f>
        <v>16.1</v>
      </c>
      <c r="J115" s="58" t="n">
        <f aca="false">ROUND(I115*G115,2)</f>
        <v>805</v>
      </c>
      <c r="K115" s="50" t="n">
        <f aca="false">J115/$I$23</f>
        <v>0.00195442546871311</v>
      </c>
    </row>
    <row r="116" customFormat="false" ht="14.25" hidden="false" customHeight="false" outlineLevel="0" collapsed="false">
      <c r="B116" s="52" t="s">
        <v>257</v>
      </c>
      <c r="C116" s="63" t="s">
        <v>28</v>
      </c>
      <c r="D116" s="67" t="s">
        <v>258</v>
      </c>
      <c r="E116" s="54" t="s">
        <v>259</v>
      </c>
      <c r="F116" s="55" t="s">
        <v>260</v>
      </c>
      <c r="G116" s="56" t="n">
        <v>1</v>
      </c>
      <c r="H116" s="58" t="n">
        <v>4220.74</v>
      </c>
      <c r="I116" s="49" t="n">
        <f aca="false">ROUND(H116*(100%+$I$7),2)</f>
        <v>5214.3</v>
      </c>
      <c r="J116" s="58" t="n">
        <f aca="false">ROUND(I116*G116,2)</f>
        <v>5214.3</v>
      </c>
      <c r="K116" s="50" t="n">
        <f aca="false">J116/$I$22</f>
        <v>2.33586288458437</v>
      </c>
    </row>
    <row r="117" customFormat="false" ht="14.25" hidden="false" customHeight="false" outlineLevel="0" collapsed="false">
      <c r="B117" s="52" t="s">
        <v>261</v>
      </c>
      <c r="C117" s="63" t="s">
        <v>28</v>
      </c>
      <c r="D117" s="67" t="s">
        <v>262</v>
      </c>
      <c r="E117" s="54" t="s">
        <v>263</v>
      </c>
      <c r="F117" s="55" t="s">
        <v>260</v>
      </c>
      <c r="G117" s="56" t="n">
        <v>2</v>
      </c>
      <c r="H117" s="58" t="n">
        <v>5502.94</v>
      </c>
      <c r="I117" s="49" t="n">
        <f aca="false">ROUND(H117*(100%+$I$7),2)</f>
        <v>6798.33</v>
      </c>
      <c r="J117" s="58" t="n">
        <f aca="false">ROUND(I117*G117,2)</f>
        <v>13596.66</v>
      </c>
      <c r="K117" s="50" t="n">
        <f aca="false">J117/$I$22</f>
        <v>6.09092945329439</v>
      </c>
    </row>
    <row r="118" customFormat="false" ht="22.35" hidden="false" customHeight="false" outlineLevel="0" collapsed="false">
      <c r="B118" s="52" t="s">
        <v>264</v>
      </c>
      <c r="C118" s="63" t="s">
        <v>28</v>
      </c>
      <c r="D118" s="67" t="s">
        <v>265</v>
      </c>
      <c r="E118" s="54" t="s">
        <v>266</v>
      </c>
      <c r="F118" s="55" t="s">
        <v>38</v>
      </c>
      <c r="G118" s="56" t="n">
        <v>3</v>
      </c>
      <c r="H118" s="58" t="n">
        <v>44.77</v>
      </c>
      <c r="I118" s="49" t="n">
        <f aca="false">ROUND(H118*(100%+$I$7),2)</f>
        <v>55.31</v>
      </c>
      <c r="J118" s="58" t="n">
        <f aca="false">ROUND(I118*G118,2)</f>
        <v>165.93</v>
      </c>
      <c r="K118" s="50" t="n">
        <f aca="false">J118/$I$23</f>
        <v>0.000402854432327411</v>
      </c>
    </row>
    <row r="119" customFormat="false" ht="22.35" hidden="false" customHeight="false" outlineLevel="0" collapsed="false">
      <c r="B119" s="52" t="s">
        <v>267</v>
      </c>
      <c r="C119" s="63" t="s">
        <v>215</v>
      </c>
      <c r="D119" s="67" t="n">
        <v>91924</v>
      </c>
      <c r="E119" s="54" t="s">
        <v>268</v>
      </c>
      <c r="F119" s="55" t="s">
        <v>70</v>
      </c>
      <c r="G119" s="56" t="n">
        <v>200</v>
      </c>
      <c r="H119" s="58" t="n">
        <v>3.45</v>
      </c>
      <c r="I119" s="49" t="n">
        <f aca="false">ROUND(H119*(100%+$I$7),2)</f>
        <v>4.26</v>
      </c>
      <c r="J119" s="58" t="n">
        <f aca="false">ROUND(I119*G119,2)</f>
        <v>852</v>
      </c>
      <c r="K119" s="50" t="n">
        <f aca="false">J119/$I$23</f>
        <v>0.00206853478179325</v>
      </c>
    </row>
    <row r="120" customFormat="false" ht="22.35" hidden="false" customHeight="false" outlineLevel="0" collapsed="false">
      <c r="B120" s="52" t="s">
        <v>269</v>
      </c>
      <c r="C120" s="63" t="s">
        <v>215</v>
      </c>
      <c r="D120" s="67" t="n">
        <v>91926</v>
      </c>
      <c r="E120" s="54" t="s">
        <v>270</v>
      </c>
      <c r="F120" s="55" t="s">
        <v>70</v>
      </c>
      <c r="G120" s="56" t="n">
        <v>200</v>
      </c>
      <c r="H120" s="58" t="n">
        <v>4.87</v>
      </c>
      <c r="I120" s="49" t="n">
        <f aca="false">ROUND(H120*(100%+$I$7),2)</f>
        <v>6.02</v>
      </c>
      <c r="J120" s="58" t="n">
        <f aca="false">ROUND(I120*G120,2)</f>
        <v>1204</v>
      </c>
      <c r="K120" s="50" t="n">
        <f aca="false">J120/$I$23</f>
        <v>0.00292314070103178</v>
      </c>
    </row>
    <row r="121" customFormat="false" ht="22.35" hidden="false" customHeight="false" outlineLevel="0" collapsed="false">
      <c r="B121" s="52" t="s">
        <v>271</v>
      </c>
      <c r="C121" s="63" t="s">
        <v>215</v>
      </c>
      <c r="D121" s="67" t="n">
        <v>91928</v>
      </c>
      <c r="E121" s="54" t="s">
        <v>272</v>
      </c>
      <c r="F121" s="55" t="s">
        <v>70</v>
      </c>
      <c r="G121" s="56" t="n">
        <v>70</v>
      </c>
      <c r="H121" s="58" t="n">
        <v>7.35</v>
      </c>
      <c r="I121" s="49" t="n">
        <f aca="false">ROUND(H121*(100%+$I$7),2)</f>
        <v>9.08</v>
      </c>
      <c r="J121" s="58" t="n">
        <f aca="false">ROUND(I121*G121,2)</f>
        <v>635.6</v>
      </c>
      <c r="K121" s="50" t="n">
        <f aca="false">J121/$I$23</f>
        <v>0.00154314637007957</v>
      </c>
    </row>
    <row r="122" customFormat="false" ht="14.25" hidden="false" customHeight="true" outlineLevel="0" collapsed="false">
      <c r="B122" s="59" t="s">
        <v>273</v>
      </c>
      <c r="C122" s="59"/>
      <c r="D122" s="59"/>
      <c r="E122" s="60" t="s">
        <v>274</v>
      </c>
      <c r="F122" s="60"/>
      <c r="G122" s="60"/>
      <c r="H122" s="60"/>
      <c r="I122" s="60"/>
      <c r="J122" s="61" t="n">
        <f aca="false">SUBTOTAL(9,J123:J128)</f>
        <v>2618.16</v>
      </c>
      <c r="K122" s="62" t="n">
        <f aca="false">J122/$I$23</f>
        <v>0.00635651998157256</v>
      </c>
    </row>
    <row r="123" customFormat="false" ht="14.25" hidden="false" customHeight="false" outlineLevel="0" collapsed="false">
      <c r="B123" s="52" t="s">
        <v>275</v>
      </c>
      <c r="C123" s="63" t="s">
        <v>28</v>
      </c>
      <c r="D123" s="52" t="s">
        <v>276</v>
      </c>
      <c r="E123" s="54" t="s">
        <v>277</v>
      </c>
      <c r="F123" s="76" t="s">
        <v>38</v>
      </c>
      <c r="G123" s="56" t="n">
        <v>27</v>
      </c>
      <c r="H123" s="58" t="n">
        <v>17.5</v>
      </c>
      <c r="I123" s="49" t="n">
        <f aca="false">ROUND(H123*(100%+$I$7),2)</f>
        <v>21.62</v>
      </c>
      <c r="J123" s="58" t="n">
        <f aca="false">ROUND(I123*G123,2)</f>
        <v>583.74</v>
      </c>
      <c r="K123" s="50" t="n">
        <f aca="false">J123/$I$23</f>
        <v>0.00141723766845539</v>
      </c>
    </row>
    <row r="124" customFormat="false" ht="14.25" hidden="false" customHeight="false" outlineLevel="0" collapsed="false">
      <c r="B124" s="52" t="s">
        <v>278</v>
      </c>
      <c r="C124" s="63" t="s">
        <v>28</v>
      </c>
      <c r="D124" s="52" t="s">
        <v>279</v>
      </c>
      <c r="E124" s="54" t="s">
        <v>280</v>
      </c>
      <c r="F124" s="76" t="s">
        <v>260</v>
      </c>
      <c r="G124" s="56" t="n">
        <v>11</v>
      </c>
      <c r="H124" s="58" t="n">
        <v>49.56</v>
      </c>
      <c r="I124" s="49" t="n">
        <f aca="false">ROUND(H124*(100%+$I$7),2)</f>
        <v>61.23</v>
      </c>
      <c r="J124" s="58" t="n">
        <f aca="false">ROUND(I124*G124,2)</f>
        <v>673.53</v>
      </c>
      <c r="K124" s="50" t="n">
        <f aca="false">J124/$I$23</f>
        <v>0.00163523501359297</v>
      </c>
    </row>
    <row r="125" customFormat="false" ht="14.25" hidden="false" customHeight="false" outlineLevel="0" collapsed="false">
      <c r="B125" s="52" t="s">
        <v>281</v>
      </c>
      <c r="C125" s="63" t="s">
        <v>28</v>
      </c>
      <c r="D125" s="52" t="s">
        <v>282</v>
      </c>
      <c r="E125" s="54" t="s">
        <v>283</v>
      </c>
      <c r="F125" s="76" t="s">
        <v>260</v>
      </c>
      <c r="G125" s="56" t="n">
        <v>6</v>
      </c>
      <c r="H125" s="58" t="n">
        <v>43.39</v>
      </c>
      <c r="I125" s="49" t="n">
        <f aca="false">ROUND(H125*(100%+$I$7),2)</f>
        <v>53.6</v>
      </c>
      <c r="J125" s="58" t="n">
        <f aca="false">ROUND(I125*G125,2)</f>
        <v>321.6</v>
      </c>
      <c r="K125" s="50" t="n">
        <f aca="false">J125/$I$23</f>
        <v>0.000780799044395199</v>
      </c>
    </row>
    <row r="126" customFormat="false" ht="14.25" hidden="false" customHeight="false" outlineLevel="0" collapsed="false">
      <c r="B126" s="52" t="s">
        <v>284</v>
      </c>
      <c r="C126" s="63" t="s">
        <v>28</v>
      </c>
      <c r="D126" s="52" t="s">
        <v>285</v>
      </c>
      <c r="E126" s="54" t="s">
        <v>286</v>
      </c>
      <c r="F126" s="76" t="s">
        <v>260</v>
      </c>
      <c r="G126" s="56" t="n">
        <v>10</v>
      </c>
      <c r="H126" s="58" t="n">
        <v>29.12</v>
      </c>
      <c r="I126" s="49" t="n">
        <f aca="false">ROUND(H126*(100%+$I$7),2)</f>
        <v>35.97</v>
      </c>
      <c r="J126" s="58" t="n">
        <f aca="false">ROUND(I126*G126,2)</f>
        <v>359.7</v>
      </c>
      <c r="K126" s="50" t="n">
        <f aca="false">J126/$I$23</f>
        <v>0.00087330042372187</v>
      </c>
    </row>
    <row r="127" customFormat="false" ht="21.8" hidden="false" customHeight="false" outlineLevel="0" collapsed="false">
      <c r="B127" s="52" t="s">
        <v>287</v>
      </c>
      <c r="C127" s="63" t="s">
        <v>215</v>
      </c>
      <c r="D127" s="67" t="n">
        <v>103782</v>
      </c>
      <c r="E127" s="54" t="s">
        <v>288</v>
      </c>
      <c r="F127" s="76" t="s">
        <v>38</v>
      </c>
      <c r="G127" s="56" t="n">
        <v>9</v>
      </c>
      <c r="H127" s="58" t="n">
        <v>37</v>
      </c>
      <c r="I127" s="49" t="n">
        <f aca="false">ROUND(H127*(100%+$I$7),2)</f>
        <v>45.71</v>
      </c>
      <c r="J127" s="58" t="n">
        <f aca="false">ROUND(I127*G127,2)</f>
        <v>411.39</v>
      </c>
      <c r="K127" s="50" t="n">
        <f aca="false">J127/$I$23</f>
        <v>0.000998796389532777</v>
      </c>
    </row>
    <row r="128" customFormat="false" ht="21.8" hidden="false" customHeight="false" outlineLevel="0" collapsed="false">
      <c r="B128" s="52" t="s">
        <v>289</v>
      </c>
      <c r="C128" s="63" t="s">
        <v>215</v>
      </c>
      <c r="D128" s="52" t="n">
        <v>97599</v>
      </c>
      <c r="E128" s="54" t="s">
        <v>290</v>
      </c>
      <c r="F128" s="76" t="s">
        <v>38</v>
      </c>
      <c r="G128" s="56" t="n">
        <v>10</v>
      </c>
      <c r="H128" s="58" t="n">
        <v>21.71</v>
      </c>
      <c r="I128" s="49" t="n">
        <f aca="false">ROUND(H128*(100%+$I$7),2)</f>
        <v>26.82</v>
      </c>
      <c r="J128" s="58" t="n">
        <f aca="false">ROUND(I128*G128,2)</f>
        <v>268.2</v>
      </c>
      <c r="K128" s="50" t="n">
        <f aca="false">J128/$I$23</f>
        <v>0.000651151441874355</v>
      </c>
    </row>
    <row r="129" customFormat="false" ht="21.85" hidden="false" customHeight="true" outlineLevel="0" collapsed="false">
      <c r="B129" s="38" t="n">
        <v>9</v>
      </c>
      <c r="C129" s="38"/>
      <c r="D129" s="38"/>
      <c r="E129" s="39" t="s">
        <v>291</v>
      </c>
      <c r="F129" s="39"/>
      <c r="G129" s="39"/>
      <c r="H129" s="39"/>
      <c r="I129" s="71" t="s">
        <v>26</v>
      </c>
      <c r="J129" s="72" t="n">
        <f aca="false">SUBTOTAL(9,J130:J161)</f>
        <v>118243.54</v>
      </c>
      <c r="K129" s="42" t="n">
        <f aca="false">J129/$I$23</f>
        <v>0.287078492033288</v>
      </c>
    </row>
    <row r="130" customFormat="false" ht="14.25" hidden="false" customHeight="true" outlineLevel="0" collapsed="false">
      <c r="B130" s="59" t="s">
        <v>292</v>
      </c>
      <c r="C130" s="59"/>
      <c r="D130" s="59"/>
      <c r="E130" s="60" t="s">
        <v>293</v>
      </c>
      <c r="F130" s="60"/>
      <c r="G130" s="60"/>
      <c r="H130" s="60"/>
      <c r="I130" s="60"/>
      <c r="J130" s="61" t="n">
        <f aca="false">SUBTOTAL(9,J131:J138)</f>
        <v>48309.28</v>
      </c>
      <c r="K130" s="62" t="n">
        <f aca="false">J130/$I$23</f>
        <v>0.117288058642475</v>
      </c>
    </row>
    <row r="131" customFormat="false" ht="14.25" hidden="false" customHeight="false" outlineLevel="0" collapsed="false">
      <c r="B131" s="52" t="s">
        <v>294</v>
      </c>
      <c r="C131" s="63" t="s">
        <v>28</v>
      </c>
      <c r="D131" s="67" t="s">
        <v>295</v>
      </c>
      <c r="E131" s="79" t="s">
        <v>296</v>
      </c>
      <c r="F131" s="55" t="s">
        <v>48</v>
      </c>
      <c r="G131" s="56" t="n">
        <f aca="false">104.22*0.05</f>
        <v>5.211</v>
      </c>
      <c r="H131" s="58" t="n">
        <v>221.55</v>
      </c>
      <c r="I131" s="49" t="n">
        <f aca="false">ROUND(H131*(100%+$I$7),2)</f>
        <v>273.7</v>
      </c>
      <c r="J131" s="58" t="n">
        <f aca="false">ROUND(I131*G131,2)</f>
        <v>1426.25</v>
      </c>
      <c r="K131" s="50" t="n">
        <f aca="false">J131/$I$23</f>
        <v>0.00346273208043735</v>
      </c>
    </row>
    <row r="132" customFormat="false" ht="14.25" hidden="false" customHeight="false" outlineLevel="0" collapsed="false">
      <c r="B132" s="52" t="s">
        <v>297</v>
      </c>
      <c r="C132" s="63" t="s">
        <v>28</v>
      </c>
      <c r="D132" s="67" t="s">
        <v>154</v>
      </c>
      <c r="E132" s="79" t="s">
        <v>155</v>
      </c>
      <c r="F132" s="55" t="s">
        <v>96</v>
      </c>
      <c r="G132" s="56" t="n">
        <v>214.08</v>
      </c>
      <c r="H132" s="58" t="n">
        <v>10.22</v>
      </c>
      <c r="I132" s="49" t="n">
        <f aca="false">ROUND(H132*(100%+$I$7),2)</f>
        <v>12.63</v>
      </c>
      <c r="J132" s="58" t="n">
        <f aca="false">ROUND(I132*G132,2)</f>
        <v>2703.83</v>
      </c>
      <c r="K132" s="50" t="n">
        <f aca="false">J132/$I$23</f>
        <v>0.00656451455288269</v>
      </c>
    </row>
    <row r="133" customFormat="false" ht="14.25" hidden="false" customHeight="false" outlineLevel="0" collapsed="false">
      <c r="B133" s="52" t="s">
        <v>298</v>
      </c>
      <c r="C133" s="63" t="s">
        <v>28</v>
      </c>
      <c r="D133" s="67" t="s">
        <v>141</v>
      </c>
      <c r="E133" s="79" t="s">
        <v>142</v>
      </c>
      <c r="F133" s="55" t="s">
        <v>48</v>
      </c>
      <c r="G133" s="56" t="n">
        <v>8.32</v>
      </c>
      <c r="H133" s="57" t="n">
        <v>568.59</v>
      </c>
      <c r="I133" s="49" t="n">
        <f aca="false">ROUND(H133*(100%+$I$7),2)</f>
        <v>702.44</v>
      </c>
      <c r="J133" s="58" t="n">
        <f aca="false">ROUND(I133*G133,2)</f>
        <v>5844.3</v>
      </c>
      <c r="K133" s="50" t="n">
        <f aca="false">J133/$I$23</f>
        <v>0.0141891289028572</v>
      </c>
    </row>
    <row r="134" customFormat="false" ht="14.25" hidden="false" customHeight="false" outlineLevel="0" collapsed="false">
      <c r="B134" s="52" t="s">
        <v>299</v>
      </c>
      <c r="C134" s="63" t="s">
        <v>28</v>
      </c>
      <c r="D134" s="67" t="s">
        <v>144</v>
      </c>
      <c r="E134" s="79" t="s">
        <v>145</v>
      </c>
      <c r="F134" s="55" t="s">
        <v>48</v>
      </c>
      <c r="G134" s="56" t="n">
        <v>8.32</v>
      </c>
      <c r="H134" s="58" t="n">
        <v>134.91</v>
      </c>
      <c r="I134" s="49" t="n">
        <f aca="false">ROUND(H134*(100%+$I$7),2)</f>
        <v>166.67</v>
      </c>
      <c r="J134" s="58" t="n">
        <f aca="false">ROUND(I134*G134,2)</f>
        <v>1386.69</v>
      </c>
      <c r="K134" s="50" t="n">
        <f aca="false">J134/$I$23</f>
        <v>0.00336668602883202</v>
      </c>
    </row>
    <row r="135" customFormat="false" ht="32.55" hidden="false" customHeight="false" outlineLevel="0" collapsed="false">
      <c r="B135" s="52" t="s">
        <v>300</v>
      </c>
      <c r="C135" s="63" t="s">
        <v>28</v>
      </c>
      <c r="D135" s="80" t="s">
        <v>301</v>
      </c>
      <c r="E135" s="81" t="s">
        <v>302</v>
      </c>
      <c r="F135" s="67" t="s">
        <v>31</v>
      </c>
      <c r="G135" s="82" t="n">
        <f aca="false">104.22*1.15</f>
        <v>119.853</v>
      </c>
      <c r="H135" s="83" t="n">
        <v>149.06</v>
      </c>
      <c r="I135" s="49" t="n">
        <f aca="false">ROUND(H135*(100%+$I$7),2)</f>
        <v>184.15</v>
      </c>
      <c r="J135" s="58" t="n">
        <f aca="false">ROUND(I135*G135,2)</f>
        <v>22070.93</v>
      </c>
      <c r="K135" s="50" t="n">
        <f aca="false">J135/$I$23</f>
        <v>0.0535850779008499</v>
      </c>
    </row>
    <row r="136" customFormat="false" ht="14.25" hidden="false" customHeight="false" outlineLevel="0" collapsed="false">
      <c r="B136" s="52" t="s">
        <v>303</v>
      </c>
      <c r="C136" s="63" t="s">
        <v>28</v>
      </c>
      <c r="D136" s="67" t="s">
        <v>304</v>
      </c>
      <c r="E136" s="54" t="s">
        <v>305</v>
      </c>
      <c r="F136" s="55" t="s">
        <v>48</v>
      </c>
      <c r="G136" s="82" t="n">
        <f aca="false">104.22*0.03</f>
        <v>3.1266</v>
      </c>
      <c r="H136" s="58" t="n">
        <v>830.97</v>
      </c>
      <c r="I136" s="49" t="n">
        <f aca="false">ROUND(H136*(100%+$I$7),2)</f>
        <v>1026.58</v>
      </c>
      <c r="J136" s="58" t="n">
        <f aca="false">ROUND(I136*G136,2)</f>
        <v>3209.71</v>
      </c>
      <c r="K136" s="50" t="n">
        <f aca="false">J136/$I$23</f>
        <v>0.00779271921886106</v>
      </c>
    </row>
    <row r="137" customFormat="false" ht="32.55" hidden="false" customHeight="false" outlineLevel="0" collapsed="false">
      <c r="B137" s="52" t="s">
        <v>306</v>
      </c>
      <c r="C137" s="63" t="s">
        <v>28</v>
      </c>
      <c r="D137" s="80" t="s">
        <v>307</v>
      </c>
      <c r="E137" s="84" t="s">
        <v>308</v>
      </c>
      <c r="F137" s="55" t="s">
        <v>70</v>
      </c>
      <c r="G137" s="56" t="n">
        <v>75.62</v>
      </c>
      <c r="H137" s="85" t="n">
        <v>31.14</v>
      </c>
      <c r="I137" s="49" t="n">
        <f aca="false">ROUND(H137*(100%+$I$7),2)</f>
        <v>38.47</v>
      </c>
      <c r="J137" s="58" t="n">
        <f aca="false">ROUND(I137*G137,2)</f>
        <v>2909.1</v>
      </c>
      <c r="K137" s="50" t="n">
        <f aca="false">J137/$I$23</f>
        <v>0.0070628809081159</v>
      </c>
    </row>
    <row r="138" customFormat="false" ht="21.8" hidden="false" customHeight="false" outlineLevel="0" collapsed="false">
      <c r="B138" s="52" t="s">
        <v>309</v>
      </c>
      <c r="C138" s="63" t="s">
        <v>28</v>
      </c>
      <c r="D138" s="86" t="s">
        <v>310</v>
      </c>
      <c r="E138" s="87" t="s">
        <v>311</v>
      </c>
      <c r="F138" s="86" t="s">
        <v>31</v>
      </c>
      <c r="G138" s="86" t="n">
        <v>16.07</v>
      </c>
      <c r="H138" s="88" t="n">
        <v>441.17</v>
      </c>
      <c r="I138" s="49" t="n">
        <f aca="false">ROUND(H138*(100%+$I$7),2)</f>
        <v>545.02</v>
      </c>
      <c r="J138" s="58" t="n">
        <f aca="false">ROUND(I138*G138,2)</f>
        <v>8758.47</v>
      </c>
      <c r="K138" s="50" t="n">
        <f aca="false">J138/$I$23</f>
        <v>0.0212643190496394</v>
      </c>
    </row>
    <row r="139" customFormat="false" ht="14.25" hidden="false" customHeight="true" outlineLevel="0" collapsed="false">
      <c r="B139" s="59" t="s">
        <v>312</v>
      </c>
      <c r="C139" s="59"/>
      <c r="D139" s="59"/>
      <c r="E139" s="60" t="s">
        <v>313</v>
      </c>
      <c r="F139" s="60"/>
      <c r="G139" s="60"/>
      <c r="H139" s="60"/>
      <c r="I139" s="60"/>
      <c r="J139" s="61" t="n">
        <f aca="false">SUBTOTAL(9,J140:J145)</f>
        <v>7692.22</v>
      </c>
      <c r="K139" s="62" t="n">
        <f aca="false">J139/$I$23</f>
        <v>0.0186756157502414</v>
      </c>
    </row>
    <row r="140" customFormat="false" ht="14.25" hidden="false" customHeight="false" outlineLevel="0" collapsed="false">
      <c r="B140" s="52" t="s">
        <v>314</v>
      </c>
      <c r="C140" s="63" t="s">
        <v>28</v>
      </c>
      <c r="D140" s="53" t="s">
        <v>295</v>
      </c>
      <c r="E140" s="54" t="s">
        <v>296</v>
      </c>
      <c r="F140" s="55" t="s">
        <v>48</v>
      </c>
      <c r="G140" s="56" t="n">
        <f aca="false">48.84*0.05</f>
        <v>2.442</v>
      </c>
      <c r="H140" s="58" t="n">
        <v>211.55</v>
      </c>
      <c r="I140" s="49" t="n">
        <f aca="false">ROUND(H140*(100%+$I$7),2)</f>
        <v>261.35</v>
      </c>
      <c r="J140" s="58" t="n">
        <f aca="false">ROUND(I140*G140,2)</f>
        <v>638.22</v>
      </c>
      <c r="K140" s="50" t="n">
        <f aca="false">J140/$I$23</f>
        <v>0.00154950735731935</v>
      </c>
    </row>
    <row r="141" customFormat="false" ht="14.25" hidden="false" customHeight="false" outlineLevel="0" collapsed="false">
      <c r="B141" s="52" t="s">
        <v>315</v>
      </c>
      <c r="C141" s="63" t="s">
        <v>28</v>
      </c>
      <c r="D141" s="53" t="s">
        <v>154</v>
      </c>
      <c r="E141" s="54" t="s">
        <v>155</v>
      </c>
      <c r="F141" s="55" t="s">
        <v>96</v>
      </c>
      <c r="G141" s="56" t="n">
        <f aca="false">18*8.92</f>
        <v>160.56</v>
      </c>
      <c r="H141" s="58" t="n">
        <v>10.22</v>
      </c>
      <c r="I141" s="49" t="n">
        <f aca="false">ROUND(H141*(100%+$I$7),2)</f>
        <v>12.63</v>
      </c>
      <c r="J141" s="58" t="n">
        <f aca="false">ROUND(I141*G141,2)</f>
        <v>2027.87</v>
      </c>
      <c r="K141" s="50" t="n">
        <f aca="false">J141/$I$23</f>
        <v>0.0049233798450177</v>
      </c>
    </row>
    <row r="142" customFormat="false" ht="14.25" hidden="false" customHeight="false" outlineLevel="0" collapsed="false">
      <c r="B142" s="52" t="s">
        <v>316</v>
      </c>
      <c r="C142" s="63" t="s">
        <v>28</v>
      </c>
      <c r="D142" s="53" t="s">
        <v>317</v>
      </c>
      <c r="E142" s="54" t="s">
        <v>318</v>
      </c>
      <c r="F142" s="55" t="s">
        <v>31</v>
      </c>
      <c r="G142" s="56" t="n">
        <v>2.7</v>
      </c>
      <c r="H142" s="58" t="n">
        <v>211.45</v>
      </c>
      <c r="I142" s="49" t="n">
        <f aca="false">ROUND(H142*(100%+$I$7),2)</f>
        <v>261.23</v>
      </c>
      <c r="J142" s="58" t="n">
        <f aca="false">ROUND(I142*G142,2)</f>
        <v>705.32</v>
      </c>
      <c r="K142" s="50" t="n">
        <f aca="false">J142/$I$23</f>
        <v>0.0017124166106742</v>
      </c>
    </row>
    <row r="143" customFormat="false" ht="14.25" hidden="false" customHeight="false" outlineLevel="0" collapsed="false">
      <c r="B143" s="52" t="s">
        <v>319</v>
      </c>
      <c r="C143" s="63" t="s">
        <v>28</v>
      </c>
      <c r="D143" s="53" t="s">
        <v>141</v>
      </c>
      <c r="E143" s="54" t="s">
        <v>142</v>
      </c>
      <c r="F143" s="55" t="s">
        <v>48</v>
      </c>
      <c r="G143" s="56" t="n">
        <f aca="false">48.84*0.08</f>
        <v>3.9072</v>
      </c>
      <c r="H143" s="58" t="n">
        <v>568.59</v>
      </c>
      <c r="I143" s="49" t="n">
        <f aca="false">ROUND(H143*(100%+$I$7),2)</f>
        <v>702.44</v>
      </c>
      <c r="J143" s="58" t="n">
        <f aca="false">ROUND(I143*G143,2)</f>
        <v>2744.57</v>
      </c>
      <c r="K143" s="50" t="n">
        <f aca="false">J143/$I$23</f>
        <v>0.00666342547660365</v>
      </c>
    </row>
    <row r="144" customFormat="false" ht="14.25" hidden="false" customHeight="false" outlineLevel="0" collapsed="false">
      <c r="B144" s="52" t="s">
        <v>320</v>
      </c>
      <c r="C144" s="63" t="s">
        <v>28</v>
      </c>
      <c r="D144" s="53" t="s">
        <v>144</v>
      </c>
      <c r="E144" s="54" t="s">
        <v>145</v>
      </c>
      <c r="F144" s="55" t="s">
        <v>48</v>
      </c>
      <c r="G144" s="56" t="n">
        <f aca="false">48.84*0.08</f>
        <v>3.9072</v>
      </c>
      <c r="H144" s="58" t="n">
        <v>134.91</v>
      </c>
      <c r="I144" s="49" t="n">
        <f aca="false">ROUND(H144*(100%+$I$7),2)</f>
        <v>166.67</v>
      </c>
      <c r="J144" s="58" t="n">
        <f aca="false">ROUND(I144*G144,2)</f>
        <v>651.21</v>
      </c>
      <c r="K144" s="50" t="n">
        <f aca="false">J144/$I$23</f>
        <v>0.00158104522916853</v>
      </c>
    </row>
    <row r="145" customFormat="false" ht="14.25" hidden="false" customHeight="false" outlineLevel="0" collapsed="false">
      <c r="B145" s="52" t="s">
        <v>321</v>
      </c>
      <c r="C145" s="63" t="s">
        <v>28</v>
      </c>
      <c r="D145" s="53" t="s">
        <v>322</v>
      </c>
      <c r="E145" s="54" t="s">
        <v>323</v>
      </c>
      <c r="F145" s="55" t="s">
        <v>31</v>
      </c>
      <c r="G145" s="56" t="n">
        <v>48.84</v>
      </c>
      <c r="H145" s="58" t="n">
        <v>15.33</v>
      </c>
      <c r="I145" s="49" t="n">
        <f aca="false">ROUND(H145*(100%+$I$7),2)</f>
        <v>18.94</v>
      </c>
      <c r="J145" s="58" t="n">
        <f aca="false">ROUND(I145*G145,2)</f>
        <v>925.03</v>
      </c>
      <c r="K145" s="50" t="n">
        <f aca="false">J145/$I$23</f>
        <v>0.002245841231458</v>
      </c>
    </row>
    <row r="146" customFormat="false" ht="14.25" hidden="false" customHeight="true" outlineLevel="0" collapsed="false">
      <c r="B146" s="59" t="s">
        <v>324</v>
      </c>
      <c r="C146" s="59"/>
      <c r="D146" s="59"/>
      <c r="E146" s="60" t="s">
        <v>325</v>
      </c>
      <c r="F146" s="60"/>
      <c r="G146" s="60"/>
      <c r="H146" s="60"/>
      <c r="I146" s="60"/>
      <c r="J146" s="61" t="n">
        <f aca="false">SUBTOTAL(9,J147:J150)</f>
        <v>30703.18</v>
      </c>
      <c r="K146" s="62" t="n">
        <f aca="false">J146/$I$23</f>
        <v>0.074542952748426</v>
      </c>
    </row>
    <row r="147" customFormat="false" ht="14.25" hidden="false" customHeight="false" outlineLevel="0" collapsed="false">
      <c r="B147" s="52" t="s">
        <v>326</v>
      </c>
      <c r="C147" s="63" t="s">
        <v>28</v>
      </c>
      <c r="D147" s="67" t="s">
        <v>327</v>
      </c>
      <c r="E147" s="54" t="s">
        <v>328</v>
      </c>
      <c r="F147" s="55" t="s">
        <v>31</v>
      </c>
      <c r="G147" s="56" t="n">
        <v>424.32</v>
      </c>
      <c r="H147" s="58" t="n">
        <v>7.67</v>
      </c>
      <c r="I147" s="49" t="n">
        <f aca="false">ROUND(H147*(100%+$I$7),2)</f>
        <v>9.48</v>
      </c>
      <c r="J147" s="58" t="n">
        <f aca="false">ROUND(I147*G147,2)</f>
        <v>4022.55</v>
      </c>
      <c r="K147" s="50" t="n">
        <f aca="false">J147/$I$23</f>
        <v>0.00976617909213902</v>
      </c>
    </row>
    <row r="148" customFormat="false" ht="14.25" hidden="false" customHeight="false" outlineLevel="0" collapsed="false">
      <c r="B148" s="52" t="s">
        <v>329</v>
      </c>
      <c r="C148" s="63" t="s">
        <v>28</v>
      </c>
      <c r="D148" s="67" t="s">
        <v>330</v>
      </c>
      <c r="E148" s="54" t="s">
        <v>331</v>
      </c>
      <c r="F148" s="55" t="s">
        <v>31</v>
      </c>
      <c r="G148" s="56" t="n">
        <v>424.32</v>
      </c>
      <c r="H148" s="58" t="n">
        <v>24.63</v>
      </c>
      <c r="I148" s="49" t="n">
        <f aca="false">ROUND(H148*(100%+$I$7),2)</f>
        <v>30.43</v>
      </c>
      <c r="J148" s="58" t="n">
        <f aca="false">ROUND(I148*G148,2)</f>
        <v>12912.06</v>
      </c>
      <c r="K148" s="50" t="n">
        <f aca="false">J148/$I$23</f>
        <v>0.0313486446180767</v>
      </c>
    </row>
    <row r="149" customFormat="false" ht="14.25" hidden="false" customHeight="false" outlineLevel="0" collapsed="false">
      <c r="B149" s="52" t="s">
        <v>332</v>
      </c>
      <c r="C149" s="63" t="s">
        <v>28</v>
      </c>
      <c r="D149" s="67" t="s">
        <v>333</v>
      </c>
      <c r="E149" s="54" t="s">
        <v>334</v>
      </c>
      <c r="F149" s="55" t="s">
        <v>31</v>
      </c>
      <c r="G149" s="56" t="n">
        <f aca="false">G148-56.78</f>
        <v>367.54</v>
      </c>
      <c r="H149" s="58" t="n">
        <v>14.58</v>
      </c>
      <c r="I149" s="49" t="n">
        <f aca="false">ROUND(H149*(100%+$I$7),2)</f>
        <v>18.01</v>
      </c>
      <c r="J149" s="58" t="n">
        <f aca="false">ROUND(I149*G149,2)</f>
        <v>6619.4</v>
      </c>
      <c r="K149" s="50" t="n">
        <f aca="false">J149/$I$23</f>
        <v>0.0160709614255895</v>
      </c>
    </row>
    <row r="150" customFormat="false" ht="21.8" hidden="false" customHeight="false" outlineLevel="0" collapsed="false">
      <c r="B150" s="52" t="s">
        <v>335</v>
      </c>
      <c r="C150" s="63" t="s">
        <v>28</v>
      </c>
      <c r="D150" s="67" t="s">
        <v>336</v>
      </c>
      <c r="E150" s="54" t="s">
        <v>337</v>
      </c>
      <c r="F150" s="55" t="s">
        <v>31</v>
      </c>
      <c r="G150" s="56" t="n">
        <v>56.78</v>
      </c>
      <c r="H150" s="58" t="n">
        <v>101.92</v>
      </c>
      <c r="I150" s="49" t="n">
        <f aca="false">ROUND(H150*(100%+$I$7),2)</f>
        <v>125.91</v>
      </c>
      <c r="J150" s="58" t="n">
        <f aca="false">ROUND(I150*G150,2)</f>
        <v>7149.17</v>
      </c>
      <c r="K150" s="50" t="n">
        <f aca="false">J150/$I$23</f>
        <v>0.0173571676126207</v>
      </c>
    </row>
    <row r="151" customFormat="false" ht="14.25" hidden="false" customHeight="true" outlineLevel="0" collapsed="false">
      <c r="B151" s="59" t="s">
        <v>338</v>
      </c>
      <c r="C151" s="59"/>
      <c r="D151" s="59"/>
      <c r="E151" s="60" t="s">
        <v>339</v>
      </c>
      <c r="F151" s="60"/>
      <c r="G151" s="60"/>
      <c r="H151" s="60"/>
      <c r="I151" s="60"/>
      <c r="J151" s="61" t="n">
        <f aca="false">SUBTOTAL(9,J152:J154)</f>
        <v>6036.42</v>
      </c>
      <c r="K151" s="62" t="n">
        <f aca="false">J151/$I$23</f>
        <v>0.0146555689290052</v>
      </c>
    </row>
    <row r="152" customFormat="false" ht="14.25" hidden="false" customHeight="false" outlineLevel="0" collapsed="false">
      <c r="B152" s="52" t="s">
        <v>340</v>
      </c>
      <c r="C152" s="63" t="s">
        <v>28</v>
      </c>
      <c r="D152" s="67" t="s">
        <v>327</v>
      </c>
      <c r="E152" s="54" t="s">
        <v>328</v>
      </c>
      <c r="F152" s="55" t="s">
        <v>31</v>
      </c>
      <c r="G152" s="56" t="n">
        <v>104.22</v>
      </c>
      <c r="H152" s="58" t="n">
        <v>7.67</v>
      </c>
      <c r="I152" s="49" t="n">
        <f aca="false">ROUND(H152*(100%+$I$7),2)</f>
        <v>9.48</v>
      </c>
      <c r="J152" s="58" t="n">
        <f aca="false">ROUND(I152*G152,2)</f>
        <v>988.01</v>
      </c>
      <c r="K152" s="50" t="n">
        <f aca="false">J152/$I$23</f>
        <v>0.00239874771098539</v>
      </c>
    </row>
    <row r="153" customFormat="false" ht="14.25" hidden="false" customHeight="false" outlineLevel="0" collapsed="false">
      <c r="B153" s="52" t="s">
        <v>341</v>
      </c>
      <c r="C153" s="63" t="s">
        <v>28</v>
      </c>
      <c r="D153" s="67" t="s">
        <v>330</v>
      </c>
      <c r="E153" s="54" t="s">
        <v>331</v>
      </c>
      <c r="F153" s="55" t="s">
        <v>31</v>
      </c>
      <c r="G153" s="56" t="n">
        <v>104.22</v>
      </c>
      <c r="H153" s="58" t="n">
        <v>24.63</v>
      </c>
      <c r="I153" s="49" t="n">
        <f aca="false">ROUND(H153*(100%+$I$7),2)</f>
        <v>30.43</v>
      </c>
      <c r="J153" s="58" t="n">
        <f aca="false">ROUND(I153*G153,2)</f>
        <v>3171.41</v>
      </c>
      <c r="K153" s="50" t="n">
        <f aca="false">J153/$I$23</f>
        <v>0.00769973226798936</v>
      </c>
    </row>
    <row r="154" customFormat="false" ht="14.25" hidden="false" customHeight="false" outlineLevel="0" collapsed="false">
      <c r="B154" s="52" t="s">
        <v>342</v>
      </c>
      <c r="C154" s="63" t="s">
        <v>28</v>
      </c>
      <c r="D154" s="67" t="s">
        <v>333</v>
      </c>
      <c r="E154" s="54" t="s">
        <v>334</v>
      </c>
      <c r="F154" s="55" t="s">
        <v>31</v>
      </c>
      <c r="G154" s="56" t="n">
        <v>104.22</v>
      </c>
      <c r="H154" s="58" t="n">
        <v>14.58</v>
      </c>
      <c r="I154" s="49" t="n">
        <f aca="false">ROUND(H154*(100%+$I$7),2)</f>
        <v>18.01</v>
      </c>
      <c r="J154" s="58" t="n">
        <f aca="false">ROUND(I154*G154,2)</f>
        <v>1877</v>
      </c>
      <c r="K154" s="50" t="n">
        <f aca="false">J154/$I$23</f>
        <v>0.00455708895003044</v>
      </c>
    </row>
    <row r="155" customFormat="false" ht="14.25" hidden="false" customHeight="true" outlineLevel="0" collapsed="false">
      <c r="B155" s="59" t="s">
        <v>343</v>
      </c>
      <c r="C155" s="59"/>
      <c r="D155" s="59"/>
      <c r="E155" s="60" t="s">
        <v>344</v>
      </c>
      <c r="F155" s="60"/>
      <c r="G155" s="60"/>
      <c r="H155" s="60"/>
      <c r="I155" s="60"/>
      <c r="J155" s="61" t="n">
        <f aca="false">SUBTOTAL(9,J156)</f>
        <v>10580.71</v>
      </c>
      <c r="K155" s="62" t="n">
        <f aca="false">J155/$I$23</f>
        <v>0.0256884585106428</v>
      </c>
    </row>
    <row r="156" customFormat="false" ht="14.25" hidden="false" customHeight="false" outlineLevel="0" collapsed="false">
      <c r="B156" s="52" t="s">
        <v>345</v>
      </c>
      <c r="C156" s="63" t="s">
        <v>28</v>
      </c>
      <c r="D156" s="67" t="s">
        <v>346</v>
      </c>
      <c r="E156" s="54" t="s">
        <v>347</v>
      </c>
      <c r="F156" s="55" t="s">
        <v>31</v>
      </c>
      <c r="G156" s="56" t="n">
        <v>260.16</v>
      </c>
      <c r="H156" s="57" t="n">
        <v>32.92</v>
      </c>
      <c r="I156" s="49" t="n">
        <f aca="false">ROUND(H156*(100%+$I$7),2)</f>
        <v>40.67</v>
      </c>
      <c r="J156" s="58" t="n">
        <f aca="false">ROUND(I156*G156,2)</f>
        <v>10580.71</v>
      </c>
      <c r="K156" s="50" t="n">
        <f aca="false">J156/$I$23</f>
        <v>0.0256884585106428</v>
      </c>
    </row>
    <row r="157" customFormat="false" ht="14.25" hidden="false" customHeight="true" outlineLevel="0" collapsed="false">
      <c r="B157" s="59" t="s">
        <v>348</v>
      </c>
      <c r="C157" s="59"/>
      <c r="D157" s="59"/>
      <c r="E157" s="60" t="s">
        <v>349</v>
      </c>
      <c r="F157" s="60"/>
      <c r="G157" s="60"/>
      <c r="H157" s="60"/>
      <c r="I157" s="60"/>
      <c r="J157" s="61" t="n">
        <f aca="false">SUBTOTAL(9,J158)</f>
        <v>5864.88</v>
      </c>
      <c r="K157" s="62" t="n">
        <f aca="false">J157/$I$23</f>
        <v>0.0142390942148399</v>
      </c>
    </row>
    <row r="158" customFormat="false" ht="14.25" hidden="false" customHeight="false" outlineLevel="0" collapsed="false">
      <c r="B158" s="52" t="s">
        <v>350</v>
      </c>
      <c r="C158" s="63" t="s">
        <v>28</v>
      </c>
      <c r="D158" s="67" t="s">
        <v>351</v>
      </c>
      <c r="E158" s="54" t="s">
        <v>352</v>
      </c>
      <c r="F158" s="55" t="s">
        <v>31</v>
      </c>
      <c r="G158" s="56" t="n">
        <v>132.39</v>
      </c>
      <c r="H158" s="57" t="n">
        <v>35.86</v>
      </c>
      <c r="I158" s="49" t="n">
        <f aca="false">ROUND(H158*(100%+$I$7),2)</f>
        <v>44.3</v>
      </c>
      <c r="J158" s="58" t="n">
        <f aca="false">ROUND(I158*G158,2)</f>
        <v>5864.88</v>
      </c>
      <c r="K158" s="50" t="n">
        <f aca="false">J158/$I$23</f>
        <v>0.0142390942148399</v>
      </c>
    </row>
    <row r="159" customFormat="false" ht="14.25" hidden="false" customHeight="true" outlineLevel="0" collapsed="false">
      <c r="B159" s="59" t="s">
        <v>353</v>
      </c>
      <c r="C159" s="59"/>
      <c r="D159" s="59"/>
      <c r="E159" s="60" t="s">
        <v>354</v>
      </c>
      <c r="F159" s="60"/>
      <c r="G159" s="60"/>
      <c r="H159" s="60"/>
      <c r="I159" s="60"/>
      <c r="J159" s="61" t="n">
        <f aca="false">SUBTOTAL(9,J160:J161)</f>
        <v>9056.85</v>
      </c>
      <c r="K159" s="62" t="n">
        <f aca="false">J159/$I$23</f>
        <v>0.0219887432376575</v>
      </c>
    </row>
    <row r="160" customFormat="false" ht="14.25" hidden="false" customHeight="false" outlineLevel="0" collapsed="false">
      <c r="B160" s="52" t="s">
        <v>355</v>
      </c>
      <c r="C160" s="63" t="s">
        <v>28</v>
      </c>
      <c r="D160" s="67" t="s">
        <v>356</v>
      </c>
      <c r="E160" s="54" t="s">
        <v>357</v>
      </c>
      <c r="F160" s="55" t="s">
        <v>70</v>
      </c>
      <c r="G160" s="56" t="n">
        <v>19</v>
      </c>
      <c r="H160" s="57" t="n">
        <v>176.34</v>
      </c>
      <c r="I160" s="49" t="n">
        <f aca="false">ROUND(H160*(100%+$I$7),2)</f>
        <v>217.85</v>
      </c>
      <c r="J160" s="58" t="n">
        <f aca="false">ROUND(I160*G160,2)</f>
        <v>4139.15</v>
      </c>
      <c r="K160" s="50" t="n">
        <f aca="false">J160/$I$23</f>
        <v>0.0100492673028868</v>
      </c>
    </row>
    <row r="161" customFormat="false" ht="14.25" hidden="false" customHeight="false" outlineLevel="0" collapsed="false">
      <c r="B161" s="52" t="s">
        <v>358</v>
      </c>
      <c r="C161" s="63" t="s">
        <v>28</v>
      </c>
      <c r="D161" s="67" t="s">
        <v>359</v>
      </c>
      <c r="E161" s="54" t="s">
        <v>360</v>
      </c>
      <c r="F161" s="55" t="s">
        <v>31</v>
      </c>
      <c r="G161" s="56" t="n">
        <v>3.84</v>
      </c>
      <c r="H161" s="49" t="n">
        <v>1036.63</v>
      </c>
      <c r="I161" s="49" t="n">
        <f aca="false">ROUND(H161*(100%+$I$7),2)</f>
        <v>1280.65</v>
      </c>
      <c r="J161" s="49" t="n">
        <f aca="false">ROUND(I161*G161,2)</f>
        <v>4917.7</v>
      </c>
      <c r="K161" s="50" t="n">
        <f aca="false">J161/$I$23</f>
        <v>0.0119394759347707</v>
      </c>
    </row>
    <row r="162" customFormat="false" ht="21.85" hidden="false" customHeight="true" outlineLevel="0" collapsed="false">
      <c r="B162" s="38" t="n">
        <v>10</v>
      </c>
      <c r="C162" s="38"/>
      <c r="D162" s="38"/>
      <c r="E162" s="39" t="s">
        <v>361</v>
      </c>
      <c r="F162" s="39"/>
      <c r="G162" s="39"/>
      <c r="H162" s="39"/>
      <c r="I162" s="71" t="s">
        <v>26</v>
      </c>
      <c r="J162" s="72" t="n">
        <f aca="false">SUBTOTAL(9,J163:J165)</f>
        <v>36302.86</v>
      </c>
      <c r="K162" s="42" t="n">
        <f aca="false">J162/$I$23</f>
        <v>0.0881381790945669</v>
      </c>
    </row>
    <row r="163" customFormat="false" ht="21.8" hidden="false" customHeight="false" outlineLevel="0" collapsed="false">
      <c r="B163" s="52" t="s">
        <v>362</v>
      </c>
      <c r="C163" s="63" t="s">
        <v>28</v>
      </c>
      <c r="D163" s="67" t="s">
        <v>363</v>
      </c>
      <c r="E163" s="54" t="s">
        <v>364</v>
      </c>
      <c r="F163" s="55" t="s">
        <v>31</v>
      </c>
      <c r="G163" s="56" t="n">
        <v>85.5</v>
      </c>
      <c r="H163" s="57" t="n">
        <v>238.41</v>
      </c>
      <c r="I163" s="49" t="n">
        <f aca="false">ROUND(H163*(100%+$I$7),2)</f>
        <v>294.53</v>
      </c>
      <c r="J163" s="58" t="n">
        <f aca="false">ROUND(I163*G163,2)</f>
        <v>25182.32</v>
      </c>
      <c r="K163" s="50" t="n">
        <f aca="false">J163/$I$23</f>
        <v>0.0611390901481782</v>
      </c>
    </row>
    <row r="164" customFormat="false" ht="14.25" hidden="false" customHeight="false" outlineLevel="0" collapsed="false">
      <c r="B164" s="52" t="s">
        <v>365</v>
      </c>
      <c r="C164" s="63" t="s">
        <v>28</v>
      </c>
      <c r="D164" s="67" t="s">
        <v>366</v>
      </c>
      <c r="E164" s="54" t="s">
        <v>367</v>
      </c>
      <c r="F164" s="69" t="s">
        <v>31</v>
      </c>
      <c r="G164" s="47" t="n">
        <v>30</v>
      </c>
      <c r="H164" s="49" t="n">
        <v>192.11</v>
      </c>
      <c r="I164" s="49" t="n">
        <f aca="false">ROUND(H164*(100%+$I$7),2)</f>
        <v>237.33</v>
      </c>
      <c r="J164" s="49" t="n">
        <f aca="false">ROUND(I164*G164,2)</f>
        <v>7119.9</v>
      </c>
      <c r="K164" s="50" t="n">
        <f aca="false">J164/$I$23</f>
        <v>0.0172861042170068</v>
      </c>
    </row>
    <row r="165" customFormat="false" ht="14.25" hidden="false" customHeight="false" outlineLevel="0" collapsed="false">
      <c r="B165" s="52" t="s">
        <v>368</v>
      </c>
      <c r="C165" s="63" t="s">
        <v>28</v>
      </c>
      <c r="D165" s="67" t="s">
        <v>369</v>
      </c>
      <c r="E165" s="89" t="s">
        <v>370</v>
      </c>
      <c r="F165" s="69" t="s">
        <v>31</v>
      </c>
      <c r="G165" s="47" t="n">
        <v>14</v>
      </c>
      <c r="H165" s="49" t="n">
        <v>231.31</v>
      </c>
      <c r="I165" s="49" t="n">
        <f aca="false">ROUND(H165*(100%+$I$7),2)</f>
        <v>285.76</v>
      </c>
      <c r="J165" s="49" t="n">
        <f aca="false">ROUND(I165*G165,2)</f>
        <v>4000.64</v>
      </c>
      <c r="K165" s="50" t="n">
        <f aca="false">J165/$I$23</f>
        <v>0.00971298472938187</v>
      </c>
    </row>
    <row r="166" customFormat="false" ht="21.85" hidden="false" customHeight="true" outlineLevel="0" collapsed="false">
      <c r="B166" s="38" t="n">
        <v>11</v>
      </c>
      <c r="C166" s="38"/>
      <c r="D166" s="38"/>
      <c r="E166" s="39" t="s">
        <v>371</v>
      </c>
      <c r="F166" s="39"/>
      <c r="G166" s="39"/>
      <c r="H166" s="39"/>
      <c r="I166" s="71" t="s">
        <v>26</v>
      </c>
      <c r="J166" s="72" t="n">
        <f aca="false">SUBTOTAL(9,J167:J167)</f>
        <v>2232.28</v>
      </c>
      <c r="K166" s="42" t="n">
        <f aca="false">J166/$I$23</f>
        <v>0.00541965824260733</v>
      </c>
    </row>
    <row r="167" customFormat="false" ht="14.25" hidden="false" customHeight="false" outlineLevel="0" collapsed="false">
      <c r="B167" s="90" t="s">
        <v>372</v>
      </c>
      <c r="C167" s="91" t="s">
        <v>28</v>
      </c>
      <c r="D167" s="92" t="s">
        <v>373</v>
      </c>
      <c r="E167" s="93" t="s">
        <v>374</v>
      </c>
      <c r="F167" s="94" t="s">
        <v>31</v>
      </c>
      <c r="G167" s="47" t="n">
        <v>113.66</v>
      </c>
      <c r="H167" s="95" t="n">
        <v>15.9</v>
      </c>
      <c r="I167" s="49" t="n">
        <f aca="false">ROUND(H167*(100%+$I$7),2)</f>
        <v>19.64</v>
      </c>
      <c r="J167" s="58" t="n">
        <f aca="false">ROUND(I167*G167,2)</f>
        <v>2232.28</v>
      </c>
      <c r="K167" s="50" t="n">
        <f aca="false">J167/$I$23</f>
        <v>0.00541965824260733</v>
      </c>
    </row>
    <row r="168" customFormat="false" ht="14.25" hidden="false" customHeight="false" outlineLevel="0" collapsed="false">
      <c r="B168" s="96"/>
      <c r="C168" s="96"/>
      <c r="D168" s="96"/>
      <c r="E168" s="96"/>
      <c r="F168" s="96"/>
      <c r="G168" s="96"/>
      <c r="H168" s="97"/>
      <c r="I168" s="97"/>
      <c r="J168" s="97"/>
      <c r="K168" s="98"/>
    </row>
    <row r="169" customFormat="false" ht="14.25" hidden="false" customHeight="false" outlineLevel="0" collapsed="false">
      <c r="B169" s="99" t="s">
        <v>17</v>
      </c>
      <c r="C169" s="99"/>
      <c r="D169" s="99"/>
      <c r="E169" s="99"/>
      <c r="F169" s="99"/>
      <c r="G169" s="99"/>
      <c r="H169" s="99"/>
      <c r="I169" s="99"/>
      <c r="J169" s="100" t="n">
        <f aca="false">SUBTOTAL(9,J26:J167)</f>
        <v>411885.75</v>
      </c>
      <c r="K169" s="100"/>
    </row>
    <row r="170" customFormat="false" ht="14.25" hidden="false" customHeight="false" outlineLevel="0" collapsed="false">
      <c r="B170" s="101" t="s">
        <v>375</v>
      </c>
      <c r="C170" s="101"/>
      <c r="D170" s="101"/>
      <c r="E170" s="102"/>
      <c r="F170" s="102"/>
      <c r="G170" s="102"/>
      <c r="H170" s="102"/>
    </row>
    <row r="171" customFormat="false" ht="14.25" hidden="false" customHeight="false" outlineLevel="0" collapsed="false">
      <c r="B171" s="103" t="n">
        <f aca="true">TODAY()</f>
        <v>46066</v>
      </c>
      <c r="C171" s="103"/>
      <c r="D171" s="103"/>
      <c r="E171" s="102"/>
      <c r="F171" s="101"/>
      <c r="G171" s="101"/>
      <c r="H171" s="101"/>
      <c r="I171" s="101"/>
      <c r="J171" s="101"/>
      <c r="K171" s="101"/>
    </row>
    <row r="172" customFormat="false" ht="14.25" hidden="false" customHeight="false" outlineLevel="0" collapsed="false">
      <c r="B172" s="104"/>
      <c r="C172" s="104"/>
      <c r="D172" s="104"/>
      <c r="E172" s="104"/>
      <c r="F172" s="102"/>
      <c r="G172" s="102"/>
    </row>
    <row r="173" customFormat="false" ht="14.25" hidden="false" customHeight="false" outlineLevel="0" collapsed="false">
      <c r="B173" s="102"/>
      <c r="C173" s="102"/>
      <c r="D173" s="102"/>
      <c r="E173" s="102"/>
      <c r="F173" s="102"/>
      <c r="G173" s="102"/>
    </row>
    <row r="174" customFormat="false" ht="14.25" hidden="false" customHeight="false" outlineLevel="0" collapsed="false">
      <c r="B174" s="105"/>
      <c r="C174" s="105"/>
      <c r="D174" s="105"/>
      <c r="E174" s="105"/>
      <c r="F174" s="106"/>
      <c r="G174" s="105"/>
    </row>
    <row r="175" customFormat="false" ht="14.25" hidden="false" customHeight="false" outlineLevel="0" collapsed="false">
      <c r="B175" s="105"/>
      <c r="C175" s="105"/>
      <c r="D175" s="105"/>
      <c r="E175" s="105"/>
      <c r="F175" s="106"/>
      <c r="G175" s="105"/>
    </row>
    <row r="176" customFormat="false" ht="14.25" hidden="false" customHeight="false" outlineLevel="0" collapsed="false">
      <c r="B176" s="105"/>
      <c r="C176" s="105"/>
      <c r="D176" s="105"/>
      <c r="E176" s="105"/>
      <c r="F176" s="106"/>
      <c r="G176" s="105"/>
      <c r="I176" s="3"/>
      <c r="K176" s="3"/>
    </row>
    <row r="177" customFormat="false" ht="14.25" hidden="false" customHeight="false" outlineLevel="0" collapsed="false">
      <c r="B177" s="105"/>
      <c r="C177" s="105"/>
      <c r="D177" s="105"/>
      <c r="E177" s="105"/>
      <c r="F177" s="106"/>
      <c r="G177" s="105"/>
      <c r="H177" s="4"/>
      <c r="J177" s="4"/>
      <c r="K177" s="4"/>
    </row>
    <row r="178" customFormat="false" ht="14.25" hidden="false" customHeight="false" outlineLevel="0" collapsed="false">
      <c r="B178" s="105"/>
      <c r="C178" s="105"/>
      <c r="D178" s="105"/>
      <c r="E178" s="105"/>
      <c r="F178" s="106"/>
      <c r="G178" s="105"/>
      <c r="H178" s="107"/>
      <c r="I178" s="107"/>
      <c r="J178" s="107"/>
      <c r="K178" s="107"/>
    </row>
    <row r="179" customFormat="false" ht="14.25" hidden="false" customHeight="false" outlineLevel="0" collapsed="false">
      <c r="H179" s="108"/>
      <c r="I179" s="109"/>
      <c r="J179" s="108"/>
      <c r="K179" s="110"/>
    </row>
    <row r="180" customFormat="false" ht="14.25" hidden="false" customHeight="false" outlineLevel="0" collapsed="false">
      <c r="H180" s="4" t="s">
        <v>376</v>
      </c>
      <c r="J180" s="4"/>
      <c r="K180" s="4"/>
    </row>
    <row r="181" customFormat="false" ht="14.25" hidden="false" customHeight="false" outlineLevel="0" collapsed="false">
      <c r="H181" s="107" t="s">
        <v>377</v>
      </c>
      <c r="I181" s="107"/>
      <c r="J181" s="107"/>
      <c r="K181" s="107"/>
    </row>
  </sheetData>
  <mergeCells count="131">
    <mergeCell ref="B1:J1"/>
    <mergeCell ref="B2:D5"/>
    <mergeCell ref="E2:K2"/>
    <mergeCell ref="E3:K3"/>
    <mergeCell ref="E4:K4"/>
    <mergeCell ref="E5:K5"/>
    <mergeCell ref="B6:K6"/>
    <mergeCell ref="B7:C7"/>
    <mergeCell ref="D7:G7"/>
    <mergeCell ref="B8:C8"/>
    <mergeCell ref="D8:G8"/>
    <mergeCell ref="B9:J9"/>
    <mergeCell ref="B10:K10"/>
    <mergeCell ref="B11:C11"/>
    <mergeCell ref="D11:H11"/>
    <mergeCell ref="J11:K11"/>
    <mergeCell ref="B12:C12"/>
    <mergeCell ref="D12:H12"/>
    <mergeCell ref="J12:K12"/>
    <mergeCell ref="B13:C13"/>
    <mergeCell ref="D13:H13"/>
    <mergeCell ref="J13:K13"/>
    <mergeCell ref="B14:C14"/>
    <mergeCell ref="D14:H14"/>
    <mergeCell ref="J14:K14"/>
    <mergeCell ref="B15:C15"/>
    <mergeCell ref="D15:H15"/>
    <mergeCell ref="J15:K15"/>
    <mergeCell ref="B16:C16"/>
    <mergeCell ref="D16:H16"/>
    <mergeCell ref="J16:K16"/>
    <mergeCell ref="B17:C17"/>
    <mergeCell ref="D17:H17"/>
    <mergeCell ref="J17:K17"/>
    <mergeCell ref="B18:C18"/>
    <mergeCell ref="D18:H18"/>
    <mergeCell ref="J18:K18"/>
    <mergeCell ref="B19:C19"/>
    <mergeCell ref="D19:H19"/>
    <mergeCell ref="J19:K19"/>
    <mergeCell ref="B20:C20"/>
    <mergeCell ref="D20:H20"/>
    <mergeCell ref="J20:K20"/>
    <mergeCell ref="B21:C21"/>
    <mergeCell ref="D21:H21"/>
    <mergeCell ref="J21:K21"/>
    <mergeCell ref="B22:C22"/>
    <mergeCell ref="D22:H22"/>
    <mergeCell ref="J22:K22"/>
    <mergeCell ref="B23:H23"/>
    <mergeCell ref="J23:K23"/>
    <mergeCell ref="B24:K24"/>
    <mergeCell ref="C25:D25"/>
    <mergeCell ref="B26:D26"/>
    <mergeCell ref="E26:H26"/>
    <mergeCell ref="B38:D38"/>
    <mergeCell ref="E38:H38"/>
    <mergeCell ref="B39:D39"/>
    <mergeCell ref="E39:I39"/>
    <mergeCell ref="B41:D41"/>
    <mergeCell ref="E41:I41"/>
    <mergeCell ref="B46:D46"/>
    <mergeCell ref="E46:I46"/>
    <mergeCell ref="B51:D51"/>
    <mergeCell ref="E51:H51"/>
    <mergeCell ref="B54:D54"/>
    <mergeCell ref="E54:H54"/>
    <mergeCell ref="B55:D55"/>
    <mergeCell ref="E55:I55"/>
    <mergeCell ref="B58:D58"/>
    <mergeCell ref="E58:I58"/>
    <mergeCell ref="B60:D60"/>
    <mergeCell ref="E60:I60"/>
    <mergeCell ref="B63:D63"/>
    <mergeCell ref="E63:I63"/>
    <mergeCell ref="B65:D65"/>
    <mergeCell ref="E65:H65"/>
    <mergeCell ref="B66:D66"/>
    <mergeCell ref="E66:I66"/>
    <mergeCell ref="B72:D72"/>
    <mergeCell ref="E72:I72"/>
    <mergeCell ref="B75:D75"/>
    <mergeCell ref="E75:H75"/>
    <mergeCell ref="B76:D76"/>
    <mergeCell ref="E76:I76"/>
    <mergeCell ref="B79:D79"/>
    <mergeCell ref="E79:I79"/>
    <mergeCell ref="B82:D82"/>
    <mergeCell ref="E82:H82"/>
    <mergeCell ref="B83:D83"/>
    <mergeCell ref="E83:I83"/>
    <mergeCell ref="B86:D86"/>
    <mergeCell ref="E86:I86"/>
    <mergeCell ref="B89:D89"/>
    <mergeCell ref="E89:I89"/>
    <mergeCell ref="B94:D94"/>
    <mergeCell ref="E94:I94"/>
    <mergeCell ref="B97:D97"/>
    <mergeCell ref="E97:I97"/>
    <mergeCell ref="B108:D108"/>
    <mergeCell ref="E108:H108"/>
    <mergeCell ref="B109:D109"/>
    <mergeCell ref="E109:I109"/>
    <mergeCell ref="B122:D122"/>
    <mergeCell ref="E122:I122"/>
    <mergeCell ref="B129:D129"/>
    <mergeCell ref="E129:H129"/>
    <mergeCell ref="B130:D130"/>
    <mergeCell ref="E130:I130"/>
    <mergeCell ref="B139:D139"/>
    <mergeCell ref="E139:I139"/>
    <mergeCell ref="B146:D146"/>
    <mergeCell ref="E146:I146"/>
    <mergeCell ref="B151:D151"/>
    <mergeCell ref="E151:I151"/>
    <mergeCell ref="B155:D155"/>
    <mergeCell ref="E155:I155"/>
    <mergeCell ref="B157:D157"/>
    <mergeCell ref="E157:I157"/>
    <mergeCell ref="B159:D159"/>
    <mergeCell ref="E159:I159"/>
    <mergeCell ref="B162:D162"/>
    <mergeCell ref="E162:H162"/>
    <mergeCell ref="B166:D166"/>
    <mergeCell ref="E166:H166"/>
    <mergeCell ref="B169:I169"/>
    <mergeCell ref="J169:K169"/>
    <mergeCell ref="E170:H170"/>
    <mergeCell ref="B171:D171"/>
    <mergeCell ref="H180:K180"/>
    <mergeCell ref="H181:K181"/>
  </mergeCells>
  <conditionalFormatting sqref="B168 B123:B128">
    <cfRule type="expression" priority="2" aboveAverage="0" equalAverage="0" bottom="0" percent="0" rank="0" text="" dxfId="0">
      <formula>#ref!=1</formula>
    </cfRule>
  </conditionalFormatting>
  <conditionalFormatting sqref="B40 B42:B45 B47:B50 B52:B53 B59 B61:B62 B64 B56:B57 B67:B71 B73:B74 B80:B81 B77:B78 B95:B96 B84:B85 B87:B88 B98:B107">
    <cfRule type="expression" priority="3" aboveAverage="0" equalAverage="0" bottom="0" percent="0" rank="0" text="" dxfId="1">
      <formula>#ref!=1</formula>
    </cfRule>
  </conditionalFormatting>
  <conditionalFormatting sqref="B40:B50">
    <cfRule type="expression" priority="4" aboveAverage="0" equalAverage="0" bottom="0" percent="0" rank="0" text="" dxfId="2">
      <formula>#ref!=1</formula>
    </cfRule>
  </conditionalFormatting>
  <conditionalFormatting sqref="D140:D145">
    <cfRule type="expression" priority="5" aboveAverage="0" equalAverage="0" bottom="0" percent="0" rank="0" text="" dxfId="3">
      <formula>#ref!=1</formula>
    </cfRule>
  </conditionalFormatting>
  <conditionalFormatting sqref="D127">
    <cfRule type="expression" priority="6" aboveAverage="0" equalAverage="0" bottom="0" percent="0" rank="0" text="" dxfId="4">
      <formula>#ref!=1</formula>
    </cfRule>
  </conditionalFormatting>
  <conditionalFormatting sqref="B163:B165 B152:B154 B156 B158 B160:B161">
    <cfRule type="expression" priority="7" aboveAverage="0" equalAverage="0" bottom="0" percent="0" rank="0" text="" dxfId="5">
      <formula>#ref!=1</formula>
    </cfRule>
  </conditionalFormatting>
  <conditionalFormatting sqref="B167 F116:F117">
    <cfRule type="expression" priority="8" aboveAverage="0" equalAverage="0" bottom="0" percent="0" rank="0" text="" dxfId="6">
      <formula>#ref!=1</formula>
    </cfRule>
  </conditionalFormatting>
  <conditionalFormatting sqref="B147:B150 B110:B121 F118:F121 F114:F115">
    <cfRule type="expression" priority="9" aboveAverage="0" equalAverage="0" bottom="0" percent="0" rank="0" text="" dxfId="7">
      <formula>#ref!=1</formula>
    </cfRule>
  </conditionalFormatting>
  <conditionalFormatting sqref="F135:H135 B131:B138 B140:B145 G136 D131:D137">
    <cfRule type="expression" priority="10" aboveAverage="0" equalAverage="0" bottom="0" percent="0" rank="0" text="" dxfId="8">
      <formula>#ref!=1</formula>
    </cfRule>
  </conditionalFormatting>
  <printOptions headings="false" gridLines="false" gridLinesSet="true" horizontalCentered="true" verticalCentered="true"/>
  <pageMargins left="0.0395833333333333" right="0.0395833333333333" top="0.0395833333333333" bottom="0.0395833333333333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45" man="true" max="16383" min="0"/>
    <brk id="92" man="true" max="16383" min="0"/>
    <brk id="134" man="true" max="16383" min="0"/>
    <brk id="181" man="true" max="16383" min="0"/>
    <brk id="21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56"/>
  <sheetViews>
    <sheetView showFormulas="false" showGridLines="true" showRowColHeaders="true" showZeros="true" rightToLeft="false" tabSelected="false" showOutlineSymbols="true" defaultGridColor="true" view="pageBreakPreview" topLeftCell="B13" colorId="64" zoomScale="110" zoomScaleNormal="90" zoomScalePageLayoutView="110" workbookViewId="0">
      <selection pane="topLeft" activeCell="K7" activeCellId="0" sqref="K7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04" width="1.67"/>
    <col collapsed="false" customWidth="true" hidden="false" outlineLevel="0" max="2" min="2" style="104" width="7"/>
    <col collapsed="false" customWidth="true" hidden="false" outlineLevel="0" max="3" min="3" style="104" width="9.56"/>
    <col collapsed="false" customWidth="true" hidden="false" outlineLevel="0" max="5" min="5" style="104" width="64.33"/>
    <col collapsed="false" customWidth="true" hidden="false" outlineLevel="0" max="8" min="8" style="104" width="19.44"/>
    <col collapsed="false" customWidth="true" hidden="false" outlineLevel="0" max="10" min="9" style="104" width="20.66"/>
    <col collapsed="false" customWidth="true" hidden="false" outlineLevel="0" max="12" min="11" style="104" width="22.11"/>
    <col collapsed="false" customWidth="true" hidden="false" outlineLevel="0" max="16384" min="16383" style="104" width="11.53"/>
  </cols>
  <sheetData>
    <row r="1" customFormat="false" ht="24.75" hidden="false" customHeight="true" outlineLevel="0" collapsed="false">
      <c r="B1" s="6"/>
      <c r="C1" s="6"/>
      <c r="D1" s="6"/>
      <c r="E1" s="111" t="str">
        <f aca="false">'ORÇ.'!E2</f>
        <v>PREFEITURA MUNICIPAL DE ESPÍRITO SANTO DO PINHAL - SP</v>
      </c>
      <c r="F1" s="111"/>
      <c r="G1" s="111"/>
      <c r="H1" s="111"/>
      <c r="I1" s="111"/>
      <c r="J1" s="111"/>
      <c r="K1" s="111"/>
      <c r="L1" s="111"/>
    </row>
    <row r="2" customFormat="false" ht="17.25" hidden="false" customHeight="true" outlineLevel="0" collapsed="false">
      <c r="B2" s="6"/>
      <c r="C2" s="6"/>
      <c r="D2" s="6"/>
      <c r="E2" s="112" t="s">
        <v>378</v>
      </c>
      <c r="F2" s="112"/>
      <c r="G2" s="112"/>
      <c r="H2" s="112"/>
      <c r="I2" s="112"/>
      <c r="J2" s="112"/>
      <c r="K2" s="112"/>
      <c r="L2" s="112"/>
    </row>
    <row r="3" customFormat="false" ht="20.25" hidden="false" customHeight="true" outlineLevel="0" collapsed="false">
      <c r="B3" s="6"/>
      <c r="C3" s="6"/>
      <c r="D3" s="6"/>
      <c r="E3" s="9" t="s">
        <v>2</v>
      </c>
      <c r="F3" s="9"/>
      <c r="G3" s="9"/>
      <c r="H3" s="9"/>
      <c r="I3" s="9"/>
      <c r="J3" s="9"/>
      <c r="K3" s="9"/>
      <c r="L3" s="9"/>
    </row>
    <row r="4" customFormat="false" ht="20.25" hidden="false" customHeight="true" outlineLevel="0" collapsed="false">
      <c r="B4" s="6"/>
      <c r="C4" s="6"/>
      <c r="D4" s="6"/>
      <c r="E4" s="10" t="s">
        <v>3</v>
      </c>
      <c r="F4" s="10"/>
      <c r="G4" s="10"/>
      <c r="H4" s="10"/>
      <c r="I4" s="10"/>
      <c r="J4" s="10"/>
      <c r="K4" s="10"/>
      <c r="L4" s="10"/>
    </row>
    <row r="5" customFormat="false" ht="14.25" hidden="false" customHeight="false" outlineLevel="0" collapsed="false">
      <c r="B5" s="113"/>
      <c r="C5" s="113"/>
      <c r="D5" s="113"/>
      <c r="E5" s="113"/>
      <c r="F5" s="113"/>
      <c r="G5" s="113"/>
      <c r="H5" s="113"/>
      <c r="I5" s="113"/>
      <c r="J5" s="113"/>
      <c r="K5" s="113"/>
    </row>
    <row r="6" customFormat="false" ht="27.75" hidden="false" customHeight="true" outlineLevel="0" collapsed="false">
      <c r="B6" s="114" t="s">
        <v>4</v>
      </c>
      <c r="C6" s="114"/>
      <c r="D6" s="26" t="str">
        <f aca="false">'ORÇ.'!D7</f>
        <v>Projeto de Ampliação em Unidade Básica de Saúde do Município – UBS Iracema Pinto Ricci Nina</v>
      </c>
      <c r="E6" s="26"/>
      <c r="F6" s="26"/>
      <c r="G6" s="26"/>
      <c r="H6" s="115" t="str">
        <f aca="false">'ORÇ.'!H7</f>
        <v>BDI:</v>
      </c>
      <c r="I6" s="116" t="n">
        <f aca="false">'ORÇ.'!I7</f>
        <v>0.2354</v>
      </c>
      <c r="J6" s="115" t="str">
        <f aca="false">'ORÇ.'!J7</f>
        <v>Fonte:</v>
      </c>
      <c r="K6" s="117" t="str">
        <f aca="false">'ORÇ.'!K7</f>
        <v>CDHU 199</v>
      </c>
      <c r="L6" s="118"/>
    </row>
    <row r="7" customFormat="false" ht="30" hidden="false" customHeight="true" outlineLevel="0" collapsed="false">
      <c r="B7" s="114" t="s">
        <v>9</v>
      </c>
      <c r="C7" s="114"/>
      <c r="D7" s="119" t="str">
        <f aca="false">'ORÇ.'!D8</f>
        <v>Jardim Diva Sarcinelli, Rua Amadeu Pinto – Espírito Santo do Pinhal – SP</v>
      </c>
      <c r="E7" s="119"/>
      <c r="F7" s="119"/>
      <c r="G7" s="119"/>
      <c r="H7" s="115" t="str">
        <f aca="false">'ORÇ.'!H8</f>
        <v>Atualizado:</v>
      </c>
      <c r="I7" s="120" t="n">
        <f aca="true">TODAY()</f>
        <v>46066</v>
      </c>
      <c r="J7" s="115" t="str">
        <f aca="false">'ORÇ.'!J8</f>
        <v>Sem Desoneração</v>
      </c>
      <c r="K7" s="117" t="str">
        <f aca="false">'ORÇ.'!K8</f>
        <v>SINAPI – SETEMBRO 2025</v>
      </c>
      <c r="L7" s="118"/>
    </row>
    <row r="8" customFormat="false" ht="14.25" hidden="false" customHeight="false" outlineLevel="0" collapsed="false">
      <c r="B8" s="5"/>
      <c r="C8" s="5"/>
      <c r="D8" s="5"/>
      <c r="E8" s="5"/>
      <c r="F8" s="5"/>
      <c r="G8" s="5"/>
      <c r="H8" s="5"/>
      <c r="I8" s="5"/>
      <c r="J8" s="5"/>
      <c r="K8" s="5"/>
    </row>
    <row r="9" customFormat="false" ht="25.5" hidden="false" customHeight="true" outlineLevel="0" collapsed="false">
      <c r="B9" s="121" t="s">
        <v>15</v>
      </c>
      <c r="C9" s="121"/>
      <c r="D9" s="121" t="s">
        <v>16</v>
      </c>
      <c r="E9" s="121"/>
      <c r="F9" s="121"/>
      <c r="G9" s="121"/>
      <c r="H9" s="121" t="s">
        <v>379</v>
      </c>
      <c r="I9" s="121" t="s">
        <v>380</v>
      </c>
      <c r="J9" s="121" t="s">
        <v>381</v>
      </c>
      <c r="K9" s="121" t="s">
        <v>382</v>
      </c>
      <c r="L9" s="121" t="s">
        <v>383</v>
      </c>
    </row>
    <row r="10" s="104" customFormat="true" ht="14.25" hidden="false" customHeight="false" outlineLevel="0" collapsed="false">
      <c r="B10" s="122" t="n">
        <f aca="false">'ORÇ.'!B12</f>
        <v>1</v>
      </c>
      <c r="C10" s="122"/>
      <c r="D10" s="123" t="str">
        <f aca="false">'ORÇ.'!D12</f>
        <v>SERVIÇOS PRELIMINARES</v>
      </c>
      <c r="E10" s="123"/>
      <c r="F10" s="123"/>
      <c r="G10" s="123"/>
      <c r="H10" s="124" t="n">
        <f aca="false">'ORÇ.'!J12</f>
        <v>0.0530978796911522</v>
      </c>
      <c r="I10" s="125" t="n">
        <f aca="false">H10</f>
        <v>0.0530978796911522</v>
      </c>
      <c r="J10" s="125"/>
      <c r="K10" s="125"/>
      <c r="L10" s="125"/>
    </row>
    <row r="11" customFormat="false" ht="14.25" hidden="false" customHeight="false" outlineLevel="0" collapsed="false">
      <c r="B11" s="122"/>
      <c r="C11" s="122"/>
      <c r="D11" s="123"/>
      <c r="E11" s="123"/>
      <c r="F11" s="123"/>
      <c r="G11" s="123"/>
      <c r="H11" s="126"/>
      <c r="I11" s="127"/>
      <c r="J11" s="127"/>
      <c r="K11" s="127"/>
      <c r="L11" s="127"/>
    </row>
    <row r="12" customFormat="false" ht="14.25" hidden="false" customHeight="false" outlineLevel="0" collapsed="false">
      <c r="B12" s="122"/>
      <c r="C12" s="122"/>
      <c r="D12" s="123"/>
      <c r="E12" s="123"/>
      <c r="F12" s="123"/>
      <c r="G12" s="123"/>
      <c r="H12" s="126" t="n">
        <f aca="false">'ORÇ.'!I12</f>
        <v>21870.26</v>
      </c>
      <c r="I12" s="127" t="n">
        <f aca="false">H12</f>
        <v>21870.26</v>
      </c>
      <c r="J12" s="127"/>
      <c r="K12" s="127"/>
      <c r="L12" s="127"/>
    </row>
    <row r="13" customFormat="false" ht="14.25" hidden="false" customHeight="false" outlineLevel="0" collapsed="false">
      <c r="B13" s="122" t="n">
        <f aca="false">'ORÇ.'!B38</f>
        <v>2</v>
      </c>
      <c r="C13" s="122"/>
      <c r="D13" s="123" t="str">
        <f aca="false">'ORÇ.'!D13</f>
        <v>FUNDAÇÕES</v>
      </c>
      <c r="E13" s="123"/>
      <c r="F13" s="123"/>
      <c r="G13" s="123"/>
      <c r="H13" s="124" t="n">
        <f aca="false">'ORÇ.'!J13</f>
        <v>0.058583429992419</v>
      </c>
      <c r="I13" s="125" t="n">
        <f aca="false">H13</f>
        <v>0.058583429992419</v>
      </c>
      <c r="J13" s="125"/>
      <c r="K13" s="125"/>
      <c r="L13" s="125"/>
    </row>
    <row r="14" customFormat="false" ht="14.25" hidden="false" customHeight="false" outlineLevel="0" collapsed="false">
      <c r="B14" s="122"/>
      <c r="C14" s="122"/>
      <c r="D14" s="123"/>
      <c r="E14" s="123"/>
      <c r="F14" s="123"/>
      <c r="G14" s="123"/>
      <c r="H14" s="126"/>
      <c r="I14" s="127"/>
      <c r="J14" s="127"/>
      <c r="K14" s="127"/>
      <c r="L14" s="127"/>
    </row>
    <row r="15" customFormat="false" ht="14.25" hidden="false" customHeight="false" outlineLevel="0" collapsed="false">
      <c r="B15" s="122"/>
      <c r="C15" s="122"/>
      <c r="D15" s="123"/>
      <c r="E15" s="123"/>
      <c r="F15" s="123"/>
      <c r="G15" s="123"/>
      <c r="H15" s="126" t="n">
        <f aca="false">'ORÇ.'!I13</f>
        <v>24129.68</v>
      </c>
      <c r="I15" s="127" t="n">
        <f aca="false">H15</f>
        <v>24129.68</v>
      </c>
      <c r="J15" s="127"/>
      <c r="K15" s="127"/>
      <c r="L15" s="127"/>
    </row>
    <row r="16" customFormat="false" ht="14.25" hidden="false" customHeight="false" outlineLevel="0" collapsed="false">
      <c r="B16" s="122" t="n">
        <f aca="false">'ORÇ.'!B51</f>
        <v>3</v>
      </c>
      <c r="C16" s="122"/>
      <c r="D16" s="123" t="str">
        <f aca="false">'ORÇ.'!E51</f>
        <v>ALVENARIA</v>
      </c>
      <c r="E16" s="123"/>
      <c r="F16" s="123"/>
      <c r="G16" s="123"/>
      <c r="H16" s="124" t="n">
        <f aca="false">'ORÇ.'!J14</f>
        <v>0.0804735293707054</v>
      </c>
      <c r="I16" s="125"/>
      <c r="J16" s="125" t="n">
        <f aca="false">H16</f>
        <v>0.0804735293707054</v>
      </c>
      <c r="K16" s="125"/>
      <c r="L16" s="125"/>
    </row>
    <row r="17" customFormat="false" ht="14.25" hidden="false" customHeight="false" outlineLevel="0" collapsed="false">
      <c r="B17" s="122"/>
      <c r="C17" s="122"/>
      <c r="D17" s="123"/>
      <c r="E17" s="123"/>
      <c r="F17" s="123"/>
      <c r="G17" s="123"/>
      <c r="H17" s="126"/>
      <c r="I17" s="127"/>
      <c r="J17" s="127"/>
      <c r="K17" s="127"/>
      <c r="L17" s="127"/>
    </row>
    <row r="18" customFormat="false" ht="14.25" hidden="false" customHeight="false" outlineLevel="0" collapsed="false">
      <c r="B18" s="122"/>
      <c r="C18" s="122"/>
      <c r="D18" s="123"/>
      <c r="E18" s="123"/>
      <c r="F18" s="123"/>
      <c r="G18" s="123"/>
      <c r="H18" s="126" t="n">
        <f aca="false">'ORÇ.'!I14</f>
        <v>33145.9</v>
      </c>
      <c r="I18" s="127"/>
      <c r="J18" s="127" t="n">
        <f aca="false">H18</f>
        <v>33145.9</v>
      </c>
      <c r="K18" s="128"/>
      <c r="L18" s="127"/>
    </row>
    <row r="19" customFormat="false" ht="14.25" hidden="false" customHeight="false" outlineLevel="0" collapsed="false">
      <c r="B19" s="122" t="n">
        <f aca="false">'ORÇ.'!B54</f>
        <v>4</v>
      </c>
      <c r="C19" s="122"/>
      <c r="D19" s="123" t="str">
        <f aca="false">'ORÇ.'!E54</f>
        <v>ESQUADRIAS</v>
      </c>
      <c r="E19" s="123"/>
      <c r="F19" s="123"/>
      <c r="G19" s="123"/>
      <c r="H19" s="124" t="n">
        <f aca="false">'ORÇ.'!J15</f>
        <v>0.0876676845460179</v>
      </c>
      <c r="I19" s="125"/>
      <c r="J19" s="125" t="n">
        <f aca="false">H19</f>
        <v>0.0876676845460179</v>
      </c>
      <c r="K19" s="125"/>
      <c r="L19" s="125"/>
    </row>
    <row r="20" customFormat="false" ht="14.25" hidden="false" customHeight="false" outlineLevel="0" collapsed="false">
      <c r="B20" s="122"/>
      <c r="C20" s="122"/>
      <c r="D20" s="123"/>
      <c r="E20" s="123"/>
      <c r="F20" s="123"/>
      <c r="G20" s="123"/>
      <c r="H20" s="126"/>
      <c r="I20" s="127"/>
      <c r="J20" s="127"/>
      <c r="K20" s="127"/>
      <c r="L20" s="127"/>
    </row>
    <row r="21" customFormat="false" ht="14.25" hidden="false" customHeight="false" outlineLevel="0" collapsed="false">
      <c r="B21" s="122"/>
      <c r="C21" s="122"/>
      <c r="D21" s="123"/>
      <c r="E21" s="123"/>
      <c r="F21" s="123"/>
      <c r="G21" s="123"/>
      <c r="H21" s="126" t="n">
        <f aca="false">'ORÇ.'!I15</f>
        <v>36109.07</v>
      </c>
      <c r="I21" s="127"/>
      <c r="J21" s="127" t="n">
        <f aca="false">H21</f>
        <v>36109.07</v>
      </c>
      <c r="K21" s="127"/>
      <c r="L21" s="127"/>
    </row>
    <row r="22" customFormat="false" ht="14.25" hidden="false" customHeight="false" outlineLevel="0" collapsed="false">
      <c r="B22" s="122" t="n">
        <f aca="false">'ORÇ.'!B65</f>
        <v>5</v>
      </c>
      <c r="C22" s="122"/>
      <c r="D22" s="123" t="str">
        <f aca="false">'ORÇ.'!E65</f>
        <v>SUPERESTRUTURA DE CONCRETO ARMADO</v>
      </c>
      <c r="E22" s="123"/>
      <c r="F22" s="123"/>
      <c r="G22" s="123"/>
      <c r="H22" s="124" t="n">
        <f aca="false">'ORÇ.'!J16</f>
        <v>0.145794920071889</v>
      </c>
      <c r="I22" s="125"/>
      <c r="J22" s="125" t="n">
        <f aca="false">H22/2</f>
        <v>0.0728974600359444</v>
      </c>
      <c r="K22" s="125" t="n">
        <f aca="false">H22/2</f>
        <v>0.0728974600359444</v>
      </c>
      <c r="L22" s="125"/>
    </row>
    <row r="23" customFormat="false" ht="14.25" hidden="false" customHeight="false" outlineLevel="0" collapsed="false">
      <c r="B23" s="122"/>
      <c r="C23" s="122"/>
      <c r="D23" s="123"/>
      <c r="E23" s="123"/>
      <c r="F23" s="123"/>
      <c r="G23" s="123"/>
      <c r="H23" s="126"/>
      <c r="I23" s="127"/>
      <c r="J23" s="127"/>
      <c r="K23" s="127"/>
      <c r="L23" s="127"/>
    </row>
    <row r="24" customFormat="false" ht="14.25" hidden="false" customHeight="false" outlineLevel="0" collapsed="false">
      <c r="B24" s="122"/>
      <c r="C24" s="122"/>
      <c r="D24" s="123"/>
      <c r="E24" s="123"/>
      <c r="F24" s="123"/>
      <c r="G24" s="123"/>
      <c r="H24" s="126" t="n">
        <f aca="false">'ORÇ.'!I16</f>
        <v>60050.85</v>
      </c>
      <c r="I24" s="127"/>
      <c r="J24" s="127" t="n">
        <f aca="false">H24/2</f>
        <v>30025.425</v>
      </c>
      <c r="K24" s="127" t="n">
        <f aca="false">H24/2</f>
        <v>30025.425</v>
      </c>
      <c r="L24" s="127"/>
    </row>
    <row r="25" customFormat="false" ht="14.25" hidden="false" customHeight="false" outlineLevel="0" collapsed="false">
      <c r="B25" s="122" t="n">
        <v>6</v>
      </c>
      <c r="C25" s="122"/>
      <c r="D25" s="123" t="str">
        <f aca="false">'ORÇ.'!D17</f>
        <v>COBERTURA </v>
      </c>
      <c r="E25" s="123"/>
      <c r="F25" s="123"/>
      <c r="G25" s="123"/>
      <c r="H25" s="124" t="n">
        <f aca="false">'ORÇ.'!J17</f>
        <v>0.0852954490413907</v>
      </c>
      <c r="I25" s="125"/>
      <c r="J25" s="125"/>
      <c r="K25" s="125" t="n">
        <f aca="false">H25</f>
        <v>0.0852954490413907</v>
      </c>
      <c r="L25" s="125"/>
    </row>
    <row r="26" customFormat="false" ht="14.25" hidden="false" customHeight="false" outlineLevel="0" collapsed="false">
      <c r="B26" s="122"/>
      <c r="C26" s="122"/>
      <c r="D26" s="123"/>
      <c r="E26" s="123"/>
      <c r="F26" s="123"/>
      <c r="G26" s="123"/>
      <c r="H26" s="126"/>
      <c r="I26" s="127"/>
      <c r="J26" s="127"/>
      <c r="K26" s="127"/>
      <c r="L26" s="127"/>
    </row>
    <row r="27" customFormat="false" ht="14.25" hidden="false" customHeight="false" outlineLevel="0" collapsed="false">
      <c r="B27" s="122"/>
      <c r="C27" s="122"/>
      <c r="D27" s="123"/>
      <c r="E27" s="123"/>
      <c r="F27" s="123"/>
      <c r="G27" s="123"/>
      <c r="H27" s="126" t="n">
        <f aca="false">'ORÇ.'!I17</f>
        <v>35131.98</v>
      </c>
      <c r="I27" s="127"/>
      <c r="J27" s="127"/>
      <c r="K27" s="127" t="n">
        <f aca="false">H27</f>
        <v>35131.98</v>
      </c>
      <c r="L27" s="127"/>
    </row>
    <row r="28" customFormat="false" ht="14.25" hidden="false" customHeight="false" outlineLevel="0" collapsed="false">
      <c r="B28" s="122" t="n">
        <v>7</v>
      </c>
      <c r="C28" s="122"/>
      <c r="D28" s="123" t="str">
        <f aca="false">'ORÇ.'!D18</f>
        <v>INSTALAÇÕES HIDRÁULICAS</v>
      </c>
      <c r="E28" s="123"/>
      <c r="F28" s="123"/>
      <c r="G28" s="123"/>
      <c r="H28" s="124" t="n">
        <f aca="false">'ORÇ.'!J18</f>
        <v>0.0410434446930975</v>
      </c>
      <c r="I28" s="125"/>
      <c r="J28" s="125"/>
      <c r="K28" s="125" t="n">
        <f aca="false">H28</f>
        <v>0.0410434446930975</v>
      </c>
      <c r="L28" s="125"/>
    </row>
    <row r="29" customFormat="false" ht="14.25" hidden="false" customHeight="false" outlineLevel="0" collapsed="false">
      <c r="B29" s="122"/>
      <c r="C29" s="122"/>
      <c r="D29" s="123"/>
      <c r="E29" s="123"/>
      <c r="F29" s="123"/>
      <c r="G29" s="123"/>
      <c r="H29" s="126"/>
      <c r="I29" s="127"/>
      <c r="J29" s="127"/>
      <c r="K29" s="127"/>
      <c r="L29" s="127"/>
    </row>
    <row r="30" customFormat="false" ht="14.25" hidden="false" customHeight="false" outlineLevel="0" collapsed="false">
      <c r="B30" s="122"/>
      <c r="C30" s="122"/>
      <c r="D30" s="123"/>
      <c r="E30" s="123"/>
      <c r="F30" s="123"/>
      <c r="G30" s="123"/>
      <c r="H30" s="126" t="n">
        <f aca="false">'ORÇ.'!I18</f>
        <v>16905.21</v>
      </c>
      <c r="I30" s="127"/>
      <c r="J30" s="127"/>
      <c r="K30" s="127" t="n">
        <f aca="false">H30</f>
        <v>16905.21</v>
      </c>
      <c r="L30" s="127"/>
    </row>
    <row r="31" customFormat="false" ht="14.25" hidden="false" customHeight="false" outlineLevel="0" collapsed="false">
      <c r="B31" s="122" t="n">
        <v>8</v>
      </c>
      <c r="C31" s="122"/>
      <c r="D31" s="123" t="str">
        <f aca="false">'ORÇ.'!D19</f>
        <v>INSTALAÇÕES ELÉTRICAS </v>
      </c>
      <c r="E31" s="123"/>
      <c r="F31" s="123"/>
      <c r="G31" s="123"/>
      <c r="H31" s="124" t="n">
        <f aca="false">'ORÇ.'!J19</f>
        <v>0.0674073332228658</v>
      </c>
      <c r="I31" s="125"/>
      <c r="J31" s="125"/>
      <c r="K31" s="125" t="n">
        <f aca="false">H31/2</f>
        <v>0.0337036666114329</v>
      </c>
      <c r="L31" s="125" t="n">
        <f aca="false">K31</f>
        <v>0.0337036666114329</v>
      </c>
    </row>
    <row r="32" customFormat="false" ht="14.25" hidden="false" customHeight="false" outlineLevel="0" collapsed="false">
      <c r="B32" s="122"/>
      <c r="C32" s="122"/>
      <c r="D32" s="123"/>
      <c r="E32" s="123"/>
      <c r="F32" s="123"/>
      <c r="G32" s="123"/>
      <c r="H32" s="126"/>
      <c r="I32" s="127"/>
      <c r="J32" s="127"/>
      <c r="K32" s="127"/>
      <c r="L32" s="127"/>
    </row>
    <row r="33" customFormat="false" ht="14.25" hidden="false" customHeight="false" outlineLevel="0" collapsed="false">
      <c r="B33" s="122"/>
      <c r="C33" s="122"/>
      <c r="D33" s="123"/>
      <c r="E33" s="123"/>
      <c r="F33" s="123"/>
      <c r="G33" s="123"/>
      <c r="H33" s="126" t="n">
        <f aca="false">'ORÇ.'!I19</f>
        <v>27764.12</v>
      </c>
      <c r="I33" s="127"/>
      <c r="J33" s="127"/>
      <c r="K33" s="127" t="n">
        <f aca="false">H33/2</f>
        <v>13882.06</v>
      </c>
      <c r="L33" s="127" t="n">
        <f aca="false">K33</f>
        <v>13882.06</v>
      </c>
    </row>
    <row r="34" customFormat="false" ht="14.25" hidden="false" customHeight="false" outlineLevel="0" collapsed="false">
      <c r="B34" s="122" t="n">
        <v>9</v>
      </c>
      <c r="C34" s="122"/>
      <c r="D34" s="123" t="str">
        <f aca="false">'ORÇ.'!E129</f>
        <v>REVESTIMENTOS</v>
      </c>
      <c r="E34" s="123"/>
      <c r="F34" s="123"/>
      <c r="G34" s="123"/>
      <c r="H34" s="124" t="n">
        <f aca="false">'ORÇ.'!J20</f>
        <v>0.287078492033288</v>
      </c>
      <c r="I34" s="125"/>
      <c r="J34" s="125"/>
      <c r="K34" s="125" t="n">
        <f aca="false">H34/2</f>
        <v>0.143539246016644</v>
      </c>
      <c r="L34" s="125" t="n">
        <f aca="false">K34</f>
        <v>0.143539246016644</v>
      </c>
    </row>
    <row r="35" customFormat="false" ht="14.25" hidden="false" customHeight="false" outlineLevel="0" collapsed="false">
      <c r="B35" s="122"/>
      <c r="C35" s="122"/>
      <c r="D35" s="123"/>
      <c r="E35" s="123"/>
      <c r="F35" s="123"/>
      <c r="G35" s="123"/>
      <c r="H35" s="126"/>
      <c r="I35" s="127"/>
      <c r="J35" s="127"/>
      <c r="K35" s="127"/>
      <c r="L35" s="127"/>
    </row>
    <row r="36" customFormat="false" ht="14.25" hidden="false" customHeight="false" outlineLevel="0" collapsed="false">
      <c r="B36" s="122"/>
      <c r="C36" s="122"/>
      <c r="D36" s="123"/>
      <c r="E36" s="123"/>
      <c r="F36" s="123"/>
      <c r="G36" s="123"/>
      <c r="H36" s="126" t="n">
        <f aca="false">'ORÇ.'!J129</f>
        <v>118243.54</v>
      </c>
      <c r="I36" s="127"/>
      <c r="J36" s="127"/>
      <c r="K36" s="127" t="n">
        <f aca="false">H36/2</f>
        <v>59121.77</v>
      </c>
      <c r="L36" s="127" t="n">
        <f aca="false">K36</f>
        <v>59121.77</v>
      </c>
    </row>
    <row r="37" customFormat="false" ht="14.25" hidden="false" customHeight="false" outlineLevel="0" collapsed="false">
      <c r="B37" s="122" t="n">
        <v>10</v>
      </c>
      <c r="C37" s="122"/>
      <c r="D37" s="123" t="str">
        <f aca="false">'ORÇ.'!D21</f>
        <v>FECHAMENTO</v>
      </c>
      <c r="E37" s="123"/>
      <c r="F37" s="123"/>
      <c r="G37" s="123"/>
      <c r="H37" s="124" t="n">
        <f aca="false">'ORÇ.'!J21</f>
        <v>0.0881381790945669</v>
      </c>
      <c r="I37" s="125"/>
      <c r="J37" s="125"/>
      <c r="K37" s="125"/>
      <c r="L37" s="125" t="n">
        <f aca="false">H37</f>
        <v>0.0881381790945669</v>
      </c>
    </row>
    <row r="38" customFormat="false" ht="14.25" hidden="false" customHeight="false" outlineLevel="0" collapsed="false">
      <c r="B38" s="122"/>
      <c r="C38" s="122"/>
      <c r="D38" s="123"/>
      <c r="E38" s="123"/>
      <c r="F38" s="123"/>
      <c r="G38" s="123"/>
      <c r="H38" s="126"/>
      <c r="I38" s="127"/>
      <c r="J38" s="127"/>
      <c r="K38" s="127"/>
      <c r="L38" s="127"/>
    </row>
    <row r="39" customFormat="false" ht="14.25" hidden="false" customHeight="false" outlineLevel="0" collapsed="false">
      <c r="B39" s="122"/>
      <c r="C39" s="122"/>
      <c r="D39" s="123"/>
      <c r="E39" s="123"/>
      <c r="F39" s="123"/>
      <c r="G39" s="123"/>
      <c r="H39" s="126" t="n">
        <f aca="false">'ORÇ.'!I21</f>
        <v>36302.86</v>
      </c>
      <c r="I39" s="127"/>
      <c r="J39" s="127"/>
      <c r="K39" s="127"/>
      <c r="L39" s="127" t="n">
        <f aca="false">H39</f>
        <v>36302.86</v>
      </c>
    </row>
    <row r="40" customFormat="false" ht="14.25" hidden="false" customHeight="false" outlineLevel="0" collapsed="false">
      <c r="B40" s="122" t="n">
        <v>11</v>
      </c>
      <c r="C40" s="122"/>
      <c r="D40" s="123" t="str">
        <f aca="false">'ORÇ.'!D22</f>
        <v>LIMPEZA FINAL</v>
      </c>
      <c r="E40" s="123"/>
      <c r="F40" s="123"/>
      <c r="G40" s="123"/>
      <c r="H40" s="124" t="n">
        <f aca="false">'ORÇ.'!J22</f>
        <v>0.00541965824260733</v>
      </c>
      <c r="I40" s="125"/>
      <c r="J40" s="125"/>
      <c r="K40" s="125"/>
      <c r="L40" s="125" t="n">
        <f aca="false">H40</f>
        <v>0.00541965824260733</v>
      </c>
    </row>
    <row r="41" customFormat="false" ht="14.25" hidden="false" customHeight="false" outlineLevel="0" collapsed="false">
      <c r="B41" s="122"/>
      <c r="C41" s="122"/>
      <c r="D41" s="123"/>
      <c r="E41" s="123"/>
      <c r="F41" s="123"/>
      <c r="G41" s="123"/>
      <c r="H41" s="126"/>
      <c r="I41" s="127"/>
      <c r="J41" s="127"/>
      <c r="K41" s="127"/>
      <c r="L41" s="127"/>
    </row>
    <row r="42" customFormat="false" ht="14.25" hidden="false" customHeight="false" outlineLevel="0" collapsed="false">
      <c r="B42" s="122"/>
      <c r="C42" s="122"/>
      <c r="D42" s="123"/>
      <c r="E42" s="123"/>
      <c r="F42" s="123"/>
      <c r="G42" s="123"/>
      <c r="H42" s="126" t="n">
        <f aca="false">'ORÇ.'!I22</f>
        <v>2232.28</v>
      </c>
      <c r="I42" s="127"/>
      <c r="J42" s="127"/>
      <c r="K42" s="127"/>
      <c r="L42" s="127" t="n">
        <f aca="false">H42</f>
        <v>2232.28</v>
      </c>
    </row>
    <row r="43" customFormat="false" ht="15" hidden="false" customHeight="false" outlineLevel="0" collapsed="false">
      <c r="B43" s="129"/>
      <c r="C43" s="129"/>
      <c r="D43" s="130"/>
      <c r="E43" s="130"/>
      <c r="F43" s="130"/>
      <c r="G43" s="130"/>
      <c r="H43" s="131"/>
      <c r="I43" s="131"/>
      <c r="J43" s="131"/>
      <c r="K43" s="131"/>
      <c r="L43" s="131"/>
    </row>
    <row r="44" customFormat="false" ht="14.25" hidden="false" customHeight="false" outlineLevel="0" collapsed="false">
      <c r="B44" s="132" t="s">
        <v>384</v>
      </c>
      <c r="C44" s="132"/>
      <c r="D44" s="132"/>
      <c r="E44" s="132"/>
      <c r="F44" s="132"/>
      <c r="G44" s="132"/>
      <c r="H44" s="133" t="n">
        <f aca="false">H40+H37+H34+H31+H28+H25+H22+H19+H16+H13+H10</f>
        <v>1</v>
      </c>
      <c r="I44" s="134" t="n">
        <f aca="false">I12+I15+I18+I21+I24+I27+I30+I33+I36+I39+I42</f>
        <v>45999.94</v>
      </c>
      <c r="J44" s="134" t="n">
        <f aca="false">J12+J15+J18+J21+J24+J27+J30+J33+J36+J39+J42</f>
        <v>99280.395</v>
      </c>
      <c r="K44" s="134" t="n">
        <f aca="false">K12+K15+K18+K21+K24+K27+K30+K33+K36+K39+K42</f>
        <v>155066.445</v>
      </c>
      <c r="L44" s="134" t="n">
        <f aca="false">L12+L15+L18+L21+L24+L27+L30+L33+L36+L39+L42</f>
        <v>111538.97</v>
      </c>
    </row>
    <row r="45" customFormat="false" ht="14.25" hidden="false" customHeight="false" outlineLevel="0" collapsed="false">
      <c r="B45" s="132"/>
      <c r="C45" s="132"/>
      <c r="D45" s="132"/>
      <c r="E45" s="132"/>
      <c r="F45" s="132"/>
      <c r="G45" s="132"/>
      <c r="H45" s="135" t="n">
        <f aca="false">H42+H39+H36+H33+H30+H27+H24+H21+H18+H15+H12</f>
        <v>411885.75</v>
      </c>
      <c r="I45" s="134"/>
      <c r="J45" s="134"/>
      <c r="K45" s="134"/>
      <c r="L45" s="134"/>
    </row>
    <row r="46" customFormat="false" ht="14.25" hidden="false" customHeight="false" outlineLevel="0" collapsed="false">
      <c r="B46" s="136" t="s">
        <v>385</v>
      </c>
      <c r="C46" s="136"/>
      <c r="D46" s="136"/>
      <c r="E46" s="136"/>
      <c r="F46" s="136"/>
      <c r="G46" s="136"/>
      <c r="H46" s="135"/>
      <c r="I46" s="137" t="n">
        <f aca="false">I47/$H$45</f>
        <v>0.111681309683571</v>
      </c>
      <c r="J46" s="137" t="n">
        <f aca="false">J47/$H$45</f>
        <v>0.352719983636239</v>
      </c>
      <c r="K46" s="137" t="n">
        <f aca="false">K47/$H$45</f>
        <v>0.729199250034749</v>
      </c>
      <c r="L46" s="137" t="n">
        <f aca="false">L47/$H$45</f>
        <v>1</v>
      </c>
    </row>
    <row r="47" customFormat="false" ht="14.25" hidden="false" customHeight="false" outlineLevel="0" collapsed="false">
      <c r="B47" s="136"/>
      <c r="C47" s="136"/>
      <c r="D47" s="136"/>
      <c r="E47" s="136"/>
      <c r="F47" s="136"/>
      <c r="G47" s="136"/>
      <c r="H47" s="135"/>
      <c r="I47" s="138" t="n">
        <f aca="false">I44</f>
        <v>45999.94</v>
      </c>
      <c r="J47" s="138" t="n">
        <f aca="false">I47+J44</f>
        <v>145280.335</v>
      </c>
      <c r="K47" s="138" t="n">
        <f aca="false">J47+K44</f>
        <v>300346.78</v>
      </c>
      <c r="L47" s="138" t="n">
        <f aca="false">K47+L44</f>
        <v>411885.75</v>
      </c>
    </row>
    <row r="48" customFormat="false" ht="15" hidden="false" customHeight="false" outlineLevel="0" collapsed="false">
      <c r="B48" s="139" t="str">
        <f aca="false">'ORÇ.'!B170</f>
        <v>Espírito Santo do Pinhal/SP </v>
      </c>
      <c r="C48" s="139"/>
      <c r="D48" s="139"/>
      <c r="E48" s="139"/>
      <c r="F48" s="139"/>
      <c r="G48" s="139"/>
      <c r="H48" s="139"/>
      <c r="I48" s="139"/>
      <c r="J48" s="139"/>
      <c r="K48" s="139"/>
    </row>
    <row r="49" customFormat="false" ht="15" hidden="false" customHeight="false" outlineLevel="0" collapsed="false">
      <c r="B49" s="140" t="n">
        <f aca="true">TODAY()</f>
        <v>46066</v>
      </c>
      <c r="C49" s="140"/>
      <c r="D49" s="140"/>
      <c r="E49" s="140"/>
      <c r="F49" s="140"/>
      <c r="G49" s="140"/>
    </row>
    <row r="50" customFormat="false" ht="14.25" hidden="false" customHeight="false" outlineLevel="0" collapsed="false">
      <c r="F50" s="141"/>
      <c r="G50" s="141"/>
      <c r="H50" s="142"/>
      <c r="I50" s="142"/>
      <c r="J50" s="142"/>
      <c r="K50" s="142"/>
      <c r="L50" s="143"/>
    </row>
    <row r="51" customFormat="false" ht="14.25" hidden="false" customHeight="false" outlineLevel="0" collapsed="false">
      <c r="B51" s="141"/>
      <c r="C51" s="141"/>
      <c r="D51" s="141"/>
      <c r="E51" s="141"/>
      <c r="F51" s="141"/>
      <c r="G51" s="141"/>
      <c r="H51" s="144"/>
      <c r="I51" s="144"/>
    </row>
    <row r="52" customFormat="false" ht="15" hidden="false" customHeight="false" outlineLevel="0" collapsed="false">
      <c r="B52" s="141"/>
      <c r="C52" s="141"/>
      <c r="D52" s="141"/>
      <c r="E52" s="141"/>
      <c r="F52" s="141"/>
      <c r="G52" s="141"/>
      <c r="H52" s="145"/>
      <c r="I52" s="145"/>
      <c r="J52" s="146"/>
      <c r="K52" s="147"/>
      <c r="L52" s="148"/>
    </row>
    <row r="53" customFormat="false" ht="14.25" hidden="false" customHeight="false" outlineLevel="0" collapsed="false">
      <c r="B53" s="149"/>
      <c r="C53" s="149"/>
      <c r="D53" s="149"/>
      <c r="E53" s="149"/>
      <c r="F53" s="149"/>
      <c r="G53" s="149"/>
      <c r="H53" s="150"/>
      <c r="I53" s="150"/>
      <c r="J53" s="143" t="s">
        <v>376</v>
      </c>
      <c r="K53" s="143"/>
      <c r="L53" s="143"/>
    </row>
    <row r="54" customFormat="false" ht="14.25" hidden="false" customHeight="false" outlineLevel="0" collapsed="false">
      <c r="B54" s="149"/>
      <c r="C54" s="149"/>
      <c r="D54" s="149"/>
      <c r="E54" s="149"/>
      <c r="F54" s="149"/>
      <c r="G54" s="149"/>
      <c r="H54" s="2"/>
      <c r="I54" s="2"/>
      <c r="J54" s="143" t="s">
        <v>377</v>
      </c>
      <c r="K54" s="143"/>
      <c r="L54" s="143"/>
    </row>
    <row r="55" customFormat="false" ht="14.25" hidden="false" customHeight="false" outlineLevel="0" collapsed="false">
      <c r="J55" s="113"/>
      <c r="K55" s="113"/>
      <c r="L55" s="113"/>
    </row>
    <row r="56" customFormat="false" ht="14.25" hidden="false" customHeight="false" outlineLevel="0" collapsed="false">
      <c r="J56" s="113"/>
      <c r="K56" s="113"/>
      <c r="L56" s="113"/>
    </row>
  </sheetData>
  <mergeCells count="48">
    <mergeCell ref="B1:D4"/>
    <mergeCell ref="E1:L1"/>
    <mergeCell ref="E2:L2"/>
    <mergeCell ref="E3:L3"/>
    <mergeCell ref="E4:L4"/>
    <mergeCell ref="B5:K5"/>
    <mergeCell ref="B6:C6"/>
    <mergeCell ref="D6:G6"/>
    <mergeCell ref="B7:C7"/>
    <mergeCell ref="D7:G7"/>
    <mergeCell ref="B8:K8"/>
    <mergeCell ref="B9:C9"/>
    <mergeCell ref="D9:G9"/>
    <mergeCell ref="B10:C12"/>
    <mergeCell ref="D10:G12"/>
    <mergeCell ref="B13:C15"/>
    <mergeCell ref="D13:G15"/>
    <mergeCell ref="B16:C18"/>
    <mergeCell ref="D16:G18"/>
    <mergeCell ref="B19:C21"/>
    <mergeCell ref="D19:G21"/>
    <mergeCell ref="B22:C24"/>
    <mergeCell ref="D22:G24"/>
    <mergeCell ref="B25:C27"/>
    <mergeCell ref="D25:G27"/>
    <mergeCell ref="B28:C30"/>
    <mergeCell ref="D28:G30"/>
    <mergeCell ref="B31:C33"/>
    <mergeCell ref="D31:G33"/>
    <mergeCell ref="B34:C36"/>
    <mergeCell ref="D34:G36"/>
    <mergeCell ref="B37:C39"/>
    <mergeCell ref="D37:G39"/>
    <mergeCell ref="B40:C42"/>
    <mergeCell ref="D40:G42"/>
    <mergeCell ref="B44:G45"/>
    <mergeCell ref="I44:I45"/>
    <mergeCell ref="J44:J45"/>
    <mergeCell ref="K44:K45"/>
    <mergeCell ref="L44:L45"/>
    <mergeCell ref="H45:H47"/>
    <mergeCell ref="B46:G47"/>
    <mergeCell ref="B49:G49"/>
    <mergeCell ref="H50:K50"/>
    <mergeCell ref="J53:L53"/>
    <mergeCell ref="J54:L54"/>
    <mergeCell ref="J55:L55"/>
    <mergeCell ref="J56:L56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72"/>
  <sheetViews>
    <sheetView showFormulas="false" showGridLines="true" showRowColHeaders="true" showZeros="true" rightToLeft="false" tabSelected="false" showOutlineSymbols="true" defaultGridColor="true" view="pageBreakPreview" topLeftCell="A7" colorId="64" zoomScale="110" zoomScaleNormal="90" zoomScalePageLayoutView="110" workbookViewId="0">
      <selection pane="topLeft" activeCell="C15" activeCellId="0" sqref="C15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04" width="1.67"/>
    <col collapsed="false" customWidth="true" hidden="false" outlineLevel="0" max="2" min="2" style="104" width="15"/>
    <col collapsed="false" customWidth="true" hidden="false" outlineLevel="0" max="3" min="3" style="104" width="18"/>
    <col collapsed="false" customWidth="true" hidden="false" outlineLevel="0" max="4" min="4" style="104" width="64.33"/>
    <col collapsed="false" customWidth="true" hidden="false" outlineLevel="0" max="5" min="5" style="104" width="10.33"/>
    <col collapsed="false" customWidth="true" hidden="false" outlineLevel="0" max="6" min="6" style="104" width="9.11"/>
    <col collapsed="false" customWidth="true" hidden="false" outlineLevel="0" max="7" min="7" style="104" width="19.44"/>
    <col collapsed="false" customWidth="true" hidden="false" outlineLevel="0" max="9" min="8" style="104" width="20.66"/>
    <col collapsed="false" customWidth="true" hidden="false" outlineLevel="0" max="10" min="10" style="104" width="22.33"/>
  </cols>
  <sheetData>
    <row r="1" customFormat="false" ht="8.25" hidden="false" customHeight="true" outlineLevel="0" collapsed="false"/>
    <row r="2" customFormat="false" ht="31.5" hidden="false" customHeight="true" outlineLevel="0" collapsed="false">
      <c r="B2" s="151"/>
      <c r="C2" s="151"/>
      <c r="D2" s="152" t="str">
        <f aca="false">'ORÇ.'!E2</f>
        <v>PREFEITURA MUNICIPAL DE ESPÍRITO SANTO DO PINHAL - SP</v>
      </c>
      <c r="E2" s="152"/>
      <c r="F2" s="152"/>
      <c r="G2" s="152"/>
      <c r="H2" s="152"/>
      <c r="I2" s="152"/>
      <c r="J2" s="152"/>
    </row>
    <row r="3" customFormat="false" ht="20.25" hidden="false" customHeight="true" outlineLevel="0" collapsed="false">
      <c r="B3" s="151"/>
      <c r="C3" s="151"/>
      <c r="D3" s="153" t="s">
        <v>386</v>
      </c>
      <c r="E3" s="153"/>
      <c r="F3" s="153"/>
      <c r="G3" s="153"/>
      <c r="H3" s="153"/>
      <c r="I3" s="153"/>
      <c r="J3" s="153"/>
    </row>
    <row r="4" customFormat="false" ht="22.5" hidden="false" customHeight="true" outlineLevel="0" collapsed="false">
      <c r="B4" s="151"/>
      <c r="C4" s="151"/>
      <c r="D4" s="154" t="s">
        <v>387</v>
      </c>
      <c r="E4" s="154"/>
      <c r="F4" s="154"/>
      <c r="G4" s="154"/>
      <c r="H4" s="154"/>
      <c r="I4" s="154"/>
      <c r="J4" s="154"/>
    </row>
    <row r="5" customFormat="false" ht="22.5" hidden="false" customHeight="true" outlineLevel="0" collapsed="false">
      <c r="B5" s="151"/>
      <c r="C5" s="151"/>
      <c r="D5" s="155" t="s">
        <v>388</v>
      </c>
      <c r="E5" s="155"/>
      <c r="F5" s="155"/>
      <c r="G5" s="155"/>
      <c r="H5" s="155"/>
      <c r="I5" s="155"/>
      <c r="J5" s="155"/>
    </row>
    <row r="6" customFormat="false" ht="21" hidden="false" customHeight="true" outlineLevel="0" collapsed="false">
      <c r="B6" s="113"/>
      <c r="C6" s="113"/>
      <c r="D6" s="113"/>
      <c r="E6" s="113"/>
      <c r="F6" s="113"/>
      <c r="G6" s="113"/>
      <c r="H6" s="113"/>
      <c r="I6" s="113"/>
      <c r="J6" s="113"/>
    </row>
    <row r="7" customFormat="false" ht="29.25" hidden="false" customHeight="true" outlineLevel="0" collapsed="false">
      <c r="B7" s="156" t="s">
        <v>4</v>
      </c>
      <c r="C7" s="157" t="str">
        <f aca="false">'ORÇ.'!D7</f>
        <v>Projeto de Ampliação em Unidade Básica de Saúde do Município – UBS Iracema Pinto Ricci Nina</v>
      </c>
      <c r="D7" s="157"/>
      <c r="E7" s="157"/>
      <c r="F7" s="157"/>
      <c r="G7" s="157"/>
      <c r="H7" s="157"/>
      <c r="I7" s="157"/>
      <c r="J7" s="157"/>
    </row>
    <row r="8" customFormat="false" ht="30.75" hidden="false" customHeight="true" outlineLevel="0" collapsed="false">
      <c r="B8" s="158" t="s">
        <v>9</v>
      </c>
      <c r="C8" s="159" t="str">
        <f aca="false">'ORÇ.'!D8</f>
        <v>Jardim Diva Sarcinelli, Rua Amadeu Pinto – Espírito Santo do Pinhal – SP</v>
      </c>
      <c r="D8" s="159"/>
      <c r="E8" s="159"/>
      <c r="F8" s="159"/>
      <c r="G8" s="159"/>
      <c r="H8" s="159"/>
      <c r="I8" s="159"/>
      <c r="J8" s="159"/>
    </row>
    <row r="9" customFormat="false" ht="19.5" hidden="false" customHeight="true" outlineLevel="0" collapsed="false">
      <c r="B9" s="160"/>
      <c r="C9" s="160"/>
      <c r="D9" s="160"/>
      <c r="E9" s="160"/>
      <c r="F9" s="160"/>
      <c r="G9" s="160"/>
      <c r="H9" s="160"/>
      <c r="I9" s="160"/>
      <c r="J9" s="160"/>
    </row>
    <row r="10" customFormat="false" ht="27" hidden="false" customHeight="true" outlineLevel="0" collapsed="false">
      <c r="B10" s="161" t="s">
        <v>389</v>
      </c>
      <c r="C10" s="162" t="s">
        <v>390</v>
      </c>
      <c r="D10" s="163" t="s">
        <v>391</v>
      </c>
      <c r="E10" s="163"/>
      <c r="F10" s="163"/>
      <c r="G10" s="164" t="s">
        <v>392</v>
      </c>
      <c r="H10" s="163" t="s">
        <v>393</v>
      </c>
      <c r="I10" s="163" t="s">
        <v>394</v>
      </c>
      <c r="J10" s="165" t="s">
        <v>395</v>
      </c>
    </row>
    <row r="11" customFormat="false" ht="22.5" hidden="false" customHeight="true" outlineLevel="0" collapsed="false">
      <c r="B11" s="166" t="s">
        <v>396</v>
      </c>
      <c r="C11" s="166"/>
      <c r="D11" s="167" t="s">
        <v>397</v>
      </c>
      <c r="E11" s="167"/>
      <c r="F11" s="167"/>
      <c r="G11" s="167"/>
      <c r="H11" s="167"/>
      <c r="I11" s="167" t="s">
        <v>398</v>
      </c>
      <c r="J11" s="168" t="n">
        <f aca="false">J12</f>
        <v>4731.84</v>
      </c>
    </row>
    <row r="12" customFormat="false" ht="36.75" hidden="false" customHeight="true" outlineLevel="0" collapsed="false">
      <c r="B12" s="169" t="s">
        <v>399</v>
      </c>
      <c r="C12" s="170" t="s">
        <v>400</v>
      </c>
      <c r="D12" s="171" t="s">
        <v>401</v>
      </c>
      <c r="E12" s="171"/>
      <c r="F12" s="171"/>
      <c r="G12" s="170" t="s">
        <v>402</v>
      </c>
      <c r="H12" s="170" t="n">
        <v>8</v>
      </c>
      <c r="I12" s="172" t="n">
        <v>591.48</v>
      </c>
      <c r="J12" s="173" t="n">
        <f aca="false">I12*H12</f>
        <v>4731.84</v>
      </c>
    </row>
    <row r="13" customFormat="false" ht="12" hidden="false" customHeight="true" outlineLevel="0" collapsed="false">
      <c r="B13" s="174"/>
      <c r="C13" s="175"/>
    </row>
    <row r="14" customFormat="false" ht="22.5" hidden="false" customHeight="true" outlineLevel="0" collapsed="false">
      <c r="B14" s="176" t="s">
        <v>403</v>
      </c>
      <c r="C14" s="176"/>
      <c r="D14" s="177" t="s">
        <v>404</v>
      </c>
      <c r="E14" s="177"/>
      <c r="F14" s="177"/>
      <c r="G14" s="177"/>
      <c r="H14" s="177"/>
      <c r="I14" s="177" t="s">
        <v>398</v>
      </c>
      <c r="J14" s="178" t="n">
        <f aca="false">J15</f>
        <v>946.93</v>
      </c>
    </row>
    <row r="15" customFormat="false" ht="45" hidden="false" customHeight="true" outlineLevel="0" collapsed="false">
      <c r="B15" s="169" t="s">
        <v>399</v>
      </c>
      <c r="C15" s="170" t="s">
        <v>405</v>
      </c>
      <c r="D15" s="171" t="s">
        <v>406</v>
      </c>
      <c r="E15" s="171"/>
      <c r="F15" s="171"/>
      <c r="G15" s="170" t="s">
        <v>402</v>
      </c>
      <c r="H15" s="170" t="n">
        <v>1</v>
      </c>
      <c r="I15" s="172" t="n">
        <v>946.93</v>
      </c>
      <c r="J15" s="173" t="n">
        <f aca="false">I15*H15</f>
        <v>946.93</v>
      </c>
    </row>
    <row r="16" customFormat="false" ht="14.25" hidden="false" customHeight="false" outlineLevel="0" collapsed="false">
      <c r="D16" s="141"/>
    </row>
    <row r="17" customFormat="false" ht="22.5" hidden="false" customHeight="true" outlineLevel="0" collapsed="false">
      <c r="B17" s="176" t="s">
        <v>407</v>
      </c>
      <c r="C17" s="176"/>
      <c r="D17" s="177" t="s">
        <v>408</v>
      </c>
      <c r="E17" s="177"/>
      <c r="F17" s="177"/>
      <c r="G17" s="177"/>
      <c r="H17" s="177"/>
      <c r="I17" s="177" t="s">
        <v>398</v>
      </c>
      <c r="J17" s="178" t="n">
        <f aca="false">J18</f>
        <v>2139.77666666667</v>
      </c>
    </row>
    <row r="18" customFormat="false" ht="26.25" hidden="false" customHeight="true" outlineLevel="0" collapsed="false">
      <c r="B18" s="169" t="s">
        <v>409</v>
      </c>
      <c r="C18" s="170" t="s">
        <v>410</v>
      </c>
      <c r="D18" s="171" t="str">
        <f aca="false">'DESC. COMP - ACAD.'!D25:F25</f>
        <v>RODAÇÃO DIAGONAL DUPLO - (A)</v>
      </c>
      <c r="E18" s="171"/>
      <c r="F18" s="171"/>
      <c r="G18" s="170" t="s">
        <v>402</v>
      </c>
      <c r="H18" s="170" t="n">
        <v>1</v>
      </c>
      <c r="I18" s="172" t="n">
        <f aca="false">'DESC. COMP - ACAD.'!I25:J25</f>
        <v>2139.77666666667</v>
      </c>
      <c r="J18" s="173" t="n">
        <f aca="false">I18*H18</f>
        <v>2139.77666666667</v>
      </c>
    </row>
    <row r="20" customFormat="false" ht="22.5" hidden="false" customHeight="true" outlineLevel="0" collapsed="false">
      <c r="B20" s="176" t="s">
        <v>411</v>
      </c>
      <c r="C20" s="176"/>
      <c r="D20" s="177" t="s">
        <v>412</v>
      </c>
      <c r="E20" s="177"/>
      <c r="F20" s="177"/>
      <c r="G20" s="177"/>
      <c r="H20" s="177"/>
      <c r="I20" s="177" t="s">
        <v>398</v>
      </c>
      <c r="J20" s="178" t="n">
        <f aca="false">J21</f>
        <v>5489.77666666667</v>
      </c>
    </row>
    <row r="21" customFormat="false" ht="26.25" hidden="false" customHeight="true" outlineLevel="0" collapsed="false">
      <c r="B21" s="169" t="s">
        <v>409</v>
      </c>
      <c r="C21" s="170" t="s">
        <v>413</v>
      </c>
      <c r="D21" s="171" t="str">
        <f aca="false">'DESC. COMP - ACAD.'!D32:F32</f>
        <v>ESQUI DUPLO - (B)</v>
      </c>
      <c r="E21" s="171"/>
      <c r="F21" s="171"/>
      <c r="G21" s="170" t="s">
        <v>402</v>
      </c>
      <c r="H21" s="170" t="n">
        <v>1</v>
      </c>
      <c r="I21" s="172" t="n">
        <f aca="false">'DESC. COMP - ACAD.'!I32:J32</f>
        <v>5489.77666666667</v>
      </c>
      <c r="J21" s="173" t="n">
        <f aca="false">I21*H21</f>
        <v>5489.77666666667</v>
      </c>
    </row>
    <row r="23" customFormat="false" ht="22.5" hidden="false" customHeight="true" outlineLevel="0" collapsed="false">
      <c r="B23" s="176" t="s">
        <v>414</v>
      </c>
      <c r="C23" s="176"/>
      <c r="D23" s="177" t="s">
        <v>415</v>
      </c>
      <c r="E23" s="177"/>
      <c r="F23" s="177"/>
      <c r="G23" s="177"/>
      <c r="H23" s="177"/>
      <c r="I23" s="177" t="s">
        <v>398</v>
      </c>
      <c r="J23" s="178" t="n">
        <f aca="false">J24</f>
        <v>4478.77666666667</v>
      </c>
    </row>
    <row r="24" customFormat="false" ht="26.25" hidden="false" customHeight="true" outlineLevel="0" collapsed="false">
      <c r="B24" s="169" t="s">
        <v>409</v>
      </c>
      <c r="C24" s="170" t="s">
        <v>416</v>
      </c>
      <c r="D24" s="171" t="str">
        <f aca="false">'DESC. COMP - ACAD.'!D39:F39</f>
        <v>SIMULADOR DE CAVALGADA DUPLO - (C)</v>
      </c>
      <c r="E24" s="171"/>
      <c r="F24" s="171"/>
      <c r="G24" s="170" t="s">
        <v>402</v>
      </c>
      <c r="H24" s="170" t="n">
        <v>1</v>
      </c>
      <c r="I24" s="172" t="n">
        <f aca="false">'DESC. COMP - ACAD.'!I39:J39</f>
        <v>4478.77666666667</v>
      </c>
      <c r="J24" s="173" t="n">
        <f aca="false">I24*H24</f>
        <v>4478.77666666667</v>
      </c>
    </row>
    <row r="26" customFormat="false" ht="22.5" hidden="false" customHeight="true" outlineLevel="0" collapsed="false">
      <c r="B26" s="176" t="s">
        <v>417</v>
      </c>
      <c r="C26" s="176"/>
      <c r="D26" s="177" t="s">
        <v>418</v>
      </c>
      <c r="E26" s="177"/>
      <c r="F26" s="177"/>
      <c r="G26" s="177"/>
      <c r="H26" s="177"/>
      <c r="I26" s="177" t="s">
        <v>398</v>
      </c>
      <c r="J26" s="178" t="n">
        <f aca="false">J27</f>
        <v>1691.77666666667</v>
      </c>
    </row>
    <row r="27" customFormat="false" ht="26.25" hidden="false" customHeight="true" outlineLevel="0" collapsed="false">
      <c r="B27" s="169" t="s">
        <v>409</v>
      </c>
      <c r="C27" s="170" t="s">
        <v>419</v>
      </c>
      <c r="D27" s="171" t="str">
        <f aca="false">'DESC. COMP - ACAD.'!D46:F46</f>
        <v>RODAÇÃO VERTICAL DUPLO - (D)</v>
      </c>
      <c r="E27" s="171"/>
      <c r="F27" s="171"/>
      <c r="G27" s="170" t="s">
        <v>402</v>
      </c>
      <c r="H27" s="170" t="n">
        <v>1</v>
      </c>
      <c r="I27" s="172" t="n">
        <f aca="false">'DESC. COMP - ACAD.'!I46:J46</f>
        <v>1691.77666666667</v>
      </c>
      <c r="J27" s="173" t="n">
        <f aca="false">I27*H27</f>
        <v>1691.77666666667</v>
      </c>
    </row>
    <row r="29" customFormat="false" ht="22.5" hidden="false" customHeight="true" outlineLevel="0" collapsed="false">
      <c r="B29" s="176" t="s">
        <v>420</v>
      </c>
      <c r="C29" s="176"/>
      <c r="D29" s="177" t="s">
        <v>421</v>
      </c>
      <c r="E29" s="177"/>
      <c r="F29" s="177"/>
      <c r="G29" s="177"/>
      <c r="H29" s="177"/>
      <c r="I29" s="177" t="s">
        <v>398</v>
      </c>
      <c r="J29" s="178" t="n">
        <f aca="false">J30</f>
        <v>2450.11</v>
      </c>
    </row>
    <row r="30" customFormat="false" ht="26.25" hidden="false" customHeight="true" outlineLevel="0" collapsed="false">
      <c r="B30" s="169" t="s">
        <v>409</v>
      </c>
      <c r="C30" s="170" t="s">
        <v>422</v>
      </c>
      <c r="D30" s="171" t="str">
        <f aca="false">'DESC. COMP - ACAD.'!D53:F53</f>
        <v>ALONGADOR COM TRÊS ALTURAS - (E)</v>
      </c>
      <c r="E30" s="171"/>
      <c r="F30" s="171"/>
      <c r="G30" s="170" t="s">
        <v>402</v>
      </c>
      <c r="H30" s="170" t="n">
        <v>1</v>
      </c>
      <c r="I30" s="172" t="n">
        <f aca="false">'DESC. COMP - ACAD.'!I53:J53</f>
        <v>2450.11</v>
      </c>
      <c r="J30" s="173" t="n">
        <f aca="false">I30*H30</f>
        <v>2450.11</v>
      </c>
    </row>
    <row r="32" customFormat="false" ht="23.25" hidden="false" customHeight="true" outlineLevel="0" collapsed="false">
      <c r="B32" s="176" t="s">
        <v>423</v>
      </c>
      <c r="C32" s="176"/>
      <c r="D32" s="177" t="s">
        <v>424</v>
      </c>
      <c r="E32" s="177"/>
      <c r="F32" s="177"/>
      <c r="G32" s="177"/>
      <c r="H32" s="177"/>
      <c r="I32" s="177" t="s">
        <v>398</v>
      </c>
      <c r="J32" s="178" t="n">
        <f aca="false">J33</f>
        <v>2517.44333333333</v>
      </c>
    </row>
    <row r="33" customFormat="false" ht="26.25" hidden="false" customHeight="true" outlineLevel="0" collapsed="false">
      <c r="B33" s="169" t="s">
        <v>409</v>
      </c>
      <c r="C33" s="170" t="s">
        <v>425</v>
      </c>
      <c r="D33" s="171" t="str">
        <f aca="false">'DESC. COMP - ACAD.'!D60:F60</f>
        <v>SIMULADOR DE REMO - (F)</v>
      </c>
      <c r="E33" s="171"/>
      <c r="F33" s="171"/>
      <c r="G33" s="170" t="s">
        <v>402</v>
      </c>
      <c r="H33" s="170" t="n">
        <v>1</v>
      </c>
      <c r="I33" s="172" t="n">
        <f aca="false">'DESC. COMP - ACAD.'!I60:J60</f>
        <v>2517.44333333333</v>
      </c>
      <c r="J33" s="173" t="n">
        <f aca="false">I33*H33</f>
        <v>2517.44333333333</v>
      </c>
    </row>
    <row r="35" customFormat="false" ht="22.5" hidden="false" customHeight="true" outlineLevel="0" collapsed="false">
      <c r="B35" s="176" t="s">
        <v>426</v>
      </c>
      <c r="C35" s="176"/>
      <c r="D35" s="177" t="s">
        <v>427</v>
      </c>
      <c r="E35" s="177"/>
      <c r="F35" s="177"/>
      <c r="G35" s="177"/>
      <c r="H35" s="177"/>
      <c r="I35" s="177" t="s">
        <v>398</v>
      </c>
      <c r="J35" s="178" t="n">
        <f aca="false">J36</f>
        <v>2907.77666666667</v>
      </c>
    </row>
    <row r="36" customFormat="false" ht="26.25" hidden="false" customHeight="true" outlineLevel="0" collapsed="false">
      <c r="B36" s="169" t="s">
        <v>409</v>
      </c>
      <c r="C36" s="170" t="s">
        <v>428</v>
      </c>
      <c r="D36" s="171" t="str">
        <f aca="false">'DESC. COMP - ACAD.'!D67:F67</f>
        <v>PRESSÃO DE PERNAS DUPLO - (G)</v>
      </c>
      <c r="E36" s="171"/>
      <c r="F36" s="171"/>
      <c r="G36" s="170" t="s">
        <v>402</v>
      </c>
      <c r="H36" s="170" t="n">
        <v>1</v>
      </c>
      <c r="I36" s="172" t="n">
        <f aca="false">'DESC. COMP - ACAD.'!I67:J67</f>
        <v>2907.77666666667</v>
      </c>
      <c r="J36" s="173" t="n">
        <f aca="false">I36*H36</f>
        <v>2907.77666666667</v>
      </c>
    </row>
    <row r="38" customFormat="false" ht="22.5" hidden="false" customHeight="true" outlineLevel="0" collapsed="false">
      <c r="B38" s="176" t="s">
        <v>429</v>
      </c>
      <c r="C38" s="176"/>
      <c r="D38" s="177" t="s">
        <v>430</v>
      </c>
      <c r="E38" s="177"/>
      <c r="F38" s="177"/>
      <c r="G38" s="177"/>
      <c r="H38" s="177"/>
      <c r="I38" s="177" t="s">
        <v>398</v>
      </c>
      <c r="J38" s="178" t="n">
        <f aca="false">J39</f>
        <v>2624.77666666667</v>
      </c>
    </row>
    <row r="39" customFormat="false" ht="26.25" hidden="false" customHeight="true" outlineLevel="0" collapsed="false">
      <c r="B39" s="169" t="s">
        <v>409</v>
      </c>
      <c r="C39" s="170" t="s">
        <v>431</v>
      </c>
      <c r="D39" s="171" t="str">
        <f aca="false">'DESC. COMP - ACAD.'!D74:F74</f>
        <v>SURF DUPLO - (H)</v>
      </c>
      <c r="E39" s="171"/>
      <c r="F39" s="171"/>
      <c r="G39" s="170" t="s">
        <v>402</v>
      </c>
      <c r="H39" s="170" t="n">
        <v>1</v>
      </c>
      <c r="I39" s="172" t="n">
        <f aca="false">'DESC. COMP - ACAD.'!I74:J74</f>
        <v>2624.77666666667</v>
      </c>
      <c r="J39" s="173" t="n">
        <f aca="false">I39*H39</f>
        <v>2624.77666666667</v>
      </c>
    </row>
    <row r="41" customFormat="false" ht="22.5" hidden="false" customHeight="true" outlineLevel="0" collapsed="false">
      <c r="B41" s="176" t="s">
        <v>432</v>
      </c>
      <c r="C41" s="176"/>
      <c r="D41" s="177" t="s">
        <v>433</v>
      </c>
      <c r="E41" s="177"/>
      <c r="F41" s="177"/>
      <c r="G41" s="177"/>
      <c r="H41" s="177"/>
      <c r="I41" s="177" t="s">
        <v>398</v>
      </c>
      <c r="J41" s="178" t="n">
        <f aca="false">J42</f>
        <v>4200.44333333333</v>
      </c>
    </row>
    <row r="42" customFormat="false" ht="26.25" hidden="false" customHeight="true" outlineLevel="0" collapsed="false">
      <c r="B42" s="169" t="s">
        <v>409</v>
      </c>
      <c r="C42" s="170" t="s">
        <v>434</v>
      </c>
      <c r="D42" s="171" t="str">
        <f aca="false">'DESC. COMP - ACAD.'!D81:F81</f>
        <v>SIMULADOR DE CAMINHADA DUPLO - (I)</v>
      </c>
      <c r="E42" s="171"/>
      <c r="F42" s="171"/>
      <c r="G42" s="170" t="s">
        <v>402</v>
      </c>
      <c r="H42" s="170" t="n">
        <v>1</v>
      </c>
      <c r="I42" s="172" t="n">
        <f aca="false">'DESC. COMP - ACAD.'!I81:J81</f>
        <v>4200.44333333333</v>
      </c>
      <c r="J42" s="173" t="n">
        <f aca="false">I42*H42</f>
        <v>4200.44333333333</v>
      </c>
    </row>
    <row r="44" customFormat="false" ht="22.5" hidden="false" customHeight="true" outlineLevel="0" collapsed="false">
      <c r="B44" s="176" t="s">
        <v>435</v>
      </c>
      <c r="C44" s="176"/>
      <c r="D44" s="177" t="s">
        <v>436</v>
      </c>
      <c r="E44" s="177"/>
      <c r="F44" s="177"/>
      <c r="G44" s="177"/>
      <c r="H44" s="177"/>
      <c r="I44" s="177" t="s">
        <v>398</v>
      </c>
      <c r="J44" s="178" t="n">
        <f aca="false">J45</f>
        <v>1601.9</v>
      </c>
    </row>
    <row r="45" customFormat="false" ht="26.25" hidden="false" customHeight="true" outlineLevel="0" collapsed="false">
      <c r="B45" s="169" t="s">
        <v>409</v>
      </c>
      <c r="C45" s="170" t="s">
        <v>437</v>
      </c>
      <c r="D45" s="171" t="str">
        <f aca="false">'DESC. COMP - ACAD.'!D88:F88</f>
        <v>PLACA ORIENTATIVA - (J)</v>
      </c>
      <c r="E45" s="171"/>
      <c r="F45" s="171"/>
      <c r="G45" s="170" t="s">
        <v>402</v>
      </c>
      <c r="H45" s="170" t="n">
        <v>1</v>
      </c>
      <c r="I45" s="172" t="n">
        <f aca="false">'DESC. COMP - ACAD.'!I88:J88</f>
        <v>1601.9</v>
      </c>
      <c r="J45" s="173" t="n">
        <f aca="false">I45*H45</f>
        <v>1601.9</v>
      </c>
    </row>
    <row r="47" customFormat="false" ht="22.5" hidden="false" customHeight="true" outlineLevel="0" collapsed="false">
      <c r="B47" s="176" t="s">
        <v>438</v>
      </c>
      <c r="C47" s="176"/>
      <c r="D47" s="177" t="s">
        <v>439</v>
      </c>
      <c r="E47" s="177"/>
      <c r="F47" s="177"/>
      <c r="G47" s="177"/>
      <c r="H47" s="177"/>
      <c r="I47" s="177" t="s">
        <v>398</v>
      </c>
      <c r="J47" s="178" t="n">
        <f aca="false">J48</f>
        <v>2678.8</v>
      </c>
    </row>
    <row r="48" customFormat="false" ht="26.25" hidden="false" customHeight="true" outlineLevel="0" collapsed="false">
      <c r="B48" s="169" t="s">
        <v>409</v>
      </c>
      <c r="C48" s="170" t="s">
        <v>440</v>
      </c>
      <c r="D48" s="171" t="str">
        <f aca="false">'DESC. COMP - PLGR'!D12:G12</f>
        <v>BALANÇO - (1)</v>
      </c>
      <c r="E48" s="171"/>
      <c r="F48" s="171"/>
      <c r="G48" s="170" t="s">
        <v>402</v>
      </c>
      <c r="H48" s="170" t="n">
        <v>2</v>
      </c>
      <c r="I48" s="172" t="n">
        <f aca="false">'DESC. COMP - PLGR'!I21:J21</f>
        <v>1339.4</v>
      </c>
      <c r="J48" s="173" t="n">
        <f aca="false">I48*H48</f>
        <v>2678.8</v>
      </c>
    </row>
    <row r="49" customFormat="false" ht="14.25" hidden="false" customHeight="false" outlineLevel="0" collapsed="false">
      <c r="B49" s="179"/>
      <c r="C49" s="180"/>
      <c r="D49" s="181"/>
      <c r="E49" s="181"/>
      <c r="F49" s="181"/>
      <c r="G49" s="180"/>
      <c r="H49" s="180"/>
      <c r="I49" s="182"/>
      <c r="J49" s="182"/>
    </row>
    <row r="50" customFormat="false" ht="22.5" hidden="false" customHeight="true" outlineLevel="0" collapsed="false">
      <c r="B50" s="176" t="s">
        <v>441</v>
      </c>
      <c r="C50" s="176"/>
      <c r="D50" s="177" t="s">
        <v>442</v>
      </c>
      <c r="E50" s="177"/>
      <c r="F50" s="177"/>
      <c r="G50" s="177"/>
      <c r="H50" s="177"/>
      <c r="I50" s="177" t="s">
        <v>398</v>
      </c>
      <c r="J50" s="178" t="n">
        <f aca="false">J51</f>
        <v>10516.5966666667</v>
      </c>
    </row>
    <row r="51" customFormat="false" ht="26.25" hidden="false" customHeight="true" outlineLevel="0" collapsed="false">
      <c r="B51" s="169" t="s">
        <v>409</v>
      </c>
      <c r="C51" s="170" t="s">
        <v>443</v>
      </c>
      <c r="D51" s="171" t="str">
        <f aca="false">'DESC. COMP - PLGR'!D13:G13</f>
        <v>BALANÇO ADAPTADO FRONTAL - (2)</v>
      </c>
      <c r="E51" s="171"/>
      <c r="F51" s="171"/>
      <c r="G51" s="170" t="s">
        <v>402</v>
      </c>
      <c r="H51" s="170" t="n">
        <v>1</v>
      </c>
      <c r="I51" s="172" t="n">
        <f aca="false">'DESC. COMP - PLGR'!I28:J28</f>
        <v>10516.5966666667</v>
      </c>
      <c r="J51" s="173" t="n">
        <f aca="false">I51*H51</f>
        <v>10516.5966666667</v>
      </c>
    </row>
    <row r="52" customFormat="false" ht="14.25" hidden="false" customHeight="false" outlineLevel="0" collapsed="false">
      <c r="B52" s="179"/>
      <c r="C52" s="180"/>
      <c r="D52" s="181"/>
      <c r="E52" s="181"/>
      <c r="F52" s="181"/>
      <c r="G52" s="180"/>
      <c r="H52" s="180"/>
      <c r="I52" s="182"/>
      <c r="J52" s="182"/>
    </row>
    <row r="53" customFormat="false" ht="22.5" hidden="false" customHeight="true" outlineLevel="0" collapsed="false">
      <c r="B53" s="176" t="s">
        <v>444</v>
      </c>
      <c r="C53" s="176"/>
      <c r="D53" s="177" t="s">
        <v>445</v>
      </c>
      <c r="E53" s="177"/>
      <c r="F53" s="177"/>
      <c r="G53" s="177"/>
      <c r="H53" s="177"/>
      <c r="I53" s="177" t="s">
        <v>398</v>
      </c>
      <c r="J53" s="178" t="n">
        <f aca="false">J54</f>
        <v>6747.33333333333</v>
      </c>
    </row>
    <row r="54" customFormat="false" ht="26.25" hidden="false" customHeight="true" outlineLevel="0" collapsed="false">
      <c r="B54" s="169" t="s">
        <v>409</v>
      </c>
      <c r="C54" s="170" t="s">
        <v>446</v>
      </c>
      <c r="D54" s="171" t="str">
        <f aca="false">'DESC. COMP - PLGR'!D14:G14</f>
        <v>CASA DO TARZAN - (3)</v>
      </c>
      <c r="E54" s="171"/>
      <c r="F54" s="171"/>
      <c r="G54" s="170" t="s">
        <v>402</v>
      </c>
      <c r="H54" s="170" t="n">
        <v>1</v>
      </c>
      <c r="I54" s="172" t="n">
        <f aca="false">'DESC. COMP - PLGR'!I35:J35</f>
        <v>6747.33333333333</v>
      </c>
      <c r="J54" s="173" t="n">
        <f aca="false">I54*H54</f>
        <v>6747.33333333333</v>
      </c>
    </row>
    <row r="55" customFormat="false" ht="14.25" hidden="false" customHeight="false" outlineLevel="0" collapsed="false">
      <c r="B55" s="179"/>
      <c r="C55" s="180"/>
      <c r="D55" s="181"/>
      <c r="E55" s="181"/>
      <c r="F55" s="181"/>
      <c r="G55" s="180"/>
      <c r="H55" s="180"/>
      <c r="I55" s="182"/>
      <c r="J55" s="182"/>
    </row>
    <row r="56" customFormat="false" ht="22.5" hidden="false" customHeight="true" outlineLevel="0" collapsed="false">
      <c r="B56" s="176" t="s">
        <v>447</v>
      </c>
      <c r="C56" s="176"/>
      <c r="D56" s="177" t="s">
        <v>448</v>
      </c>
      <c r="E56" s="177"/>
      <c r="F56" s="177"/>
      <c r="G56" s="177"/>
      <c r="H56" s="177"/>
      <c r="I56" s="177" t="s">
        <v>398</v>
      </c>
      <c r="J56" s="178" t="n">
        <f aca="false">J57</f>
        <v>1273.33333333333</v>
      </c>
    </row>
    <row r="57" customFormat="false" ht="26.25" hidden="false" customHeight="true" outlineLevel="0" collapsed="false">
      <c r="B57" s="169" t="s">
        <v>409</v>
      </c>
      <c r="C57" s="170" t="s">
        <v>449</v>
      </c>
      <c r="D57" s="171" t="str">
        <f aca="false">'DESC. COMP - PLGR'!D15:G15</f>
        <v>GIRA GIRA - (4)</v>
      </c>
      <c r="E57" s="171"/>
      <c r="F57" s="171"/>
      <c r="G57" s="170" t="s">
        <v>402</v>
      </c>
      <c r="H57" s="170" t="n">
        <v>1</v>
      </c>
      <c r="I57" s="172" t="n">
        <f aca="false">'DESC. COMP - PLGR'!I42:J42</f>
        <v>1273.33333333333</v>
      </c>
      <c r="J57" s="173" t="n">
        <f aca="false">I57*H57</f>
        <v>1273.33333333333</v>
      </c>
    </row>
    <row r="58" customFormat="false" ht="14.25" hidden="false" customHeight="false" outlineLevel="0" collapsed="false">
      <c r="B58" s="179"/>
      <c r="C58" s="180"/>
      <c r="D58" s="181"/>
      <c r="E58" s="181"/>
      <c r="F58" s="181"/>
      <c r="G58" s="180"/>
      <c r="H58" s="180"/>
      <c r="I58" s="182"/>
      <c r="J58" s="182"/>
    </row>
    <row r="59" customFormat="false" ht="22.5" hidden="false" customHeight="true" outlineLevel="0" collapsed="false">
      <c r="B59" s="176" t="s">
        <v>450</v>
      </c>
      <c r="C59" s="176"/>
      <c r="D59" s="177" t="s">
        <v>451</v>
      </c>
      <c r="E59" s="177"/>
      <c r="F59" s="177"/>
      <c r="G59" s="177"/>
      <c r="H59" s="177"/>
      <c r="I59" s="177" t="s">
        <v>398</v>
      </c>
      <c r="J59" s="178" t="n">
        <f aca="false">J60</f>
        <v>1653.79333333333</v>
      </c>
    </row>
    <row r="60" customFormat="false" ht="26.25" hidden="false" customHeight="true" outlineLevel="0" collapsed="false">
      <c r="B60" s="169" t="s">
        <v>409</v>
      </c>
      <c r="C60" s="170" t="s">
        <v>452</v>
      </c>
      <c r="D60" s="171" t="str">
        <f aca="false">'DESC. COMP - PLGR'!D16:G16</f>
        <v>GANGORRA - (5)</v>
      </c>
      <c r="E60" s="171"/>
      <c r="F60" s="171"/>
      <c r="G60" s="170" t="s">
        <v>402</v>
      </c>
      <c r="H60" s="170" t="n">
        <v>2</v>
      </c>
      <c r="I60" s="172" t="n">
        <f aca="false">'DESC. COMP - PLGR'!I49:J49</f>
        <v>826.896666666667</v>
      </c>
      <c r="J60" s="173" t="n">
        <f aca="false">I60*H60</f>
        <v>1653.79333333333</v>
      </c>
    </row>
    <row r="61" customFormat="false" ht="14.25" hidden="false" customHeight="false" outlineLevel="0" collapsed="false">
      <c r="B61" s="179"/>
      <c r="C61" s="180"/>
      <c r="D61" s="181"/>
      <c r="E61" s="181"/>
      <c r="F61" s="181"/>
      <c r="G61" s="180"/>
      <c r="H61" s="180"/>
      <c r="I61" s="182"/>
      <c r="J61" s="182"/>
    </row>
    <row r="62" customFormat="false" ht="22.5" hidden="false" customHeight="true" outlineLevel="0" collapsed="false">
      <c r="B62" s="176" t="s">
        <v>453</v>
      </c>
      <c r="C62" s="176"/>
      <c r="D62" s="177" t="s">
        <v>454</v>
      </c>
      <c r="E62" s="177"/>
      <c r="F62" s="177"/>
      <c r="G62" s="177"/>
      <c r="H62" s="177"/>
      <c r="I62" s="177" t="s">
        <v>398</v>
      </c>
      <c r="J62" s="178" t="n">
        <f aca="false">J63</f>
        <v>11883.3333333333</v>
      </c>
    </row>
    <row r="63" customFormat="false" ht="26.25" hidden="false" customHeight="true" outlineLevel="0" collapsed="false">
      <c r="B63" s="169" t="s">
        <v>409</v>
      </c>
      <c r="C63" s="170" t="s">
        <v>455</v>
      </c>
      <c r="D63" s="171" t="str">
        <f aca="false">'DESC. COMP - PLGR'!D17:G17</f>
        <v>GANGORRA ADAPTADA - (6)</v>
      </c>
      <c r="E63" s="171"/>
      <c r="F63" s="171"/>
      <c r="G63" s="170" t="s">
        <v>402</v>
      </c>
      <c r="H63" s="170" t="n">
        <v>1</v>
      </c>
      <c r="I63" s="172" t="n">
        <f aca="false">'DESC. COMP - PLGR'!I56:J56</f>
        <v>11883.3333333333</v>
      </c>
      <c r="J63" s="173" t="n">
        <f aca="false">I63*H63</f>
        <v>11883.3333333333</v>
      </c>
    </row>
    <row r="64" customFormat="false" ht="26.25" hidden="false" customHeight="true" outlineLevel="0" collapsed="false">
      <c r="B64" s="179"/>
      <c r="C64" s="180"/>
      <c r="D64" s="181"/>
      <c r="E64" s="181"/>
      <c r="F64" s="181"/>
      <c r="G64" s="180"/>
      <c r="H64" s="180"/>
      <c r="I64" s="182"/>
      <c r="J64" s="182"/>
    </row>
    <row r="65" customFormat="false" ht="26.25" hidden="false" customHeight="true" outlineLevel="0" collapsed="false">
      <c r="B65" s="179"/>
      <c r="C65" s="180"/>
      <c r="D65" s="181"/>
      <c r="E65" s="181"/>
      <c r="F65" s="181"/>
      <c r="G65" s="180"/>
      <c r="H65" s="180"/>
      <c r="I65" s="182"/>
      <c r="J65" s="182"/>
    </row>
    <row r="66" customFormat="false" ht="14.25" hidden="false" customHeight="false" outlineLevel="0" collapsed="false">
      <c r="B66" s="179"/>
      <c r="C66" s="180"/>
      <c r="D66" s="181"/>
      <c r="E66" s="181"/>
      <c r="F66" s="181"/>
      <c r="G66" s="180"/>
      <c r="H66" s="180"/>
      <c r="I66" s="182"/>
      <c r="J66" s="182"/>
    </row>
    <row r="67" customFormat="false" ht="14.25" hidden="false" customHeight="false" outlineLevel="0" collapsed="false">
      <c r="B67" s="183" t="s">
        <v>456</v>
      </c>
      <c r="C67" s="183"/>
      <c r="D67" s="183"/>
      <c r="E67" s="183"/>
      <c r="F67" s="183"/>
      <c r="G67" s="183"/>
      <c r="H67" s="183"/>
      <c r="I67" s="183"/>
      <c r="J67" s="183"/>
    </row>
    <row r="68" customFormat="false" ht="14.25" hidden="false" customHeight="false" outlineLevel="0" collapsed="false">
      <c r="B68" s="183"/>
      <c r="C68" s="183"/>
      <c r="D68" s="183"/>
      <c r="E68" s="183"/>
      <c r="F68" s="183"/>
      <c r="G68" s="183"/>
      <c r="H68" s="183"/>
      <c r="I68" s="183"/>
      <c r="J68" s="183"/>
    </row>
    <row r="69" customFormat="false" ht="15" hidden="false" customHeight="false" outlineLevel="0" collapsed="false">
      <c r="B69" s="140" t="n">
        <f aca="true">TODAY()</f>
        <v>46066</v>
      </c>
      <c r="C69" s="140"/>
      <c r="D69" s="140"/>
      <c r="E69" s="140"/>
      <c r="F69" s="140"/>
      <c r="G69" s="184"/>
      <c r="H69" s="185"/>
      <c r="I69" s="185"/>
      <c r="J69" s="185"/>
    </row>
    <row r="70" customFormat="false" ht="15" hidden="false" customHeight="false" outlineLevel="0" collapsed="false">
      <c r="B70" s="186"/>
      <c r="C70" s="186"/>
      <c r="D70" s="186"/>
      <c r="E70" s="186"/>
      <c r="F70" s="186"/>
      <c r="G70" s="187" t="s">
        <v>457</v>
      </c>
      <c r="H70" s="187"/>
      <c r="I70" s="187"/>
      <c r="J70" s="187"/>
    </row>
    <row r="71" customFormat="false" ht="15" hidden="false" customHeight="false" outlineLevel="0" collapsed="false">
      <c r="B71" s="186"/>
      <c r="C71" s="186"/>
      <c r="D71" s="186"/>
      <c r="E71" s="186"/>
      <c r="F71" s="186"/>
      <c r="G71" s="188" t="s">
        <v>458</v>
      </c>
      <c r="H71" s="188"/>
      <c r="I71" s="188"/>
      <c r="J71" s="188"/>
    </row>
    <row r="72" customFormat="false" ht="15" hidden="false" customHeight="false" outlineLevel="0" collapsed="false">
      <c r="B72" s="186"/>
      <c r="C72" s="186"/>
      <c r="D72" s="186"/>
      <c r="E72" s="186"/>
      <c r="F72" s="186"/>
      <c r="G72" s="187" t="s">
        <v>459</v>
      </c>
      <c r="H72" s="187"/>
      <c r="I72" s="187"/>
      <c r="J72" s="187"/>
    </row>
  </sheetData>
  <mergeCells count="69">
    <mergeCell ref="B2:C5"/>
    <mergeCell ref="D2:J2"/>
    <mergeCell ref="D3:J3"/>
    <mergeCell ref="D4:J4"/>
    <mergeCell ref="D5:J5"/>
    <mergeCell ref="B6:J6"/>
    <mergeCell ref="C7:J7"/>
    <mergeCell ref="C8:J8"/>
    <mergeCell ref="B9:J9"/>
    <mergeCell ref="D10:F10"/>
    <mergeCell ref="B11:C11"/>
    <mergeCell ref="D11:H11"/>
    <mergeCell ref="D12:F12"/>
    <mergeCell ref="B14:C14"/>
    <mergeCell ref="D14:H14"/>
    <mergeCell ref="D15:F15"/>
    <mergeCell ref="B17:C17"/>
    <mergeCell ref="D17:H17"/>
    <mergeCell ref="D18:F18"/>
    <mergeCell ref="B20:C20"/>
    <mergeCell ref="D20:H20"/>
    <mergeCell ref="D21:F21"/>
    <mergeCell ref="B23:C23"/>
    <mergeCell ref="D23:H23"/>
    <mergeCell ref="D24:F24"/>
    <mergeCell ref="B26:C26"/>
    <mergeCell ref="D26:H26"/>
    <mergeCell ref="D27:F27"/>
    <mergeCell ref="B29:C29"/>
    <mergeCell ref="D29:H29"/>
    <mergeCell ref="D30:F30"/>
    <mergeCell ref="B32:C32"/>
    <mergeCell ref="D32:H32"/>
    <mergeCell ref="D33:F33"/>
    <mergeCell ref="B35:C35"/>
    <mergeCell ref="D35:H35"/>
    <mergeCell ref="D36:F36"/>
    <mergeCell ref="B38:C38"/>
    <mergeCell ref="D38:H38"/>
    <mergeCell ref="D39:F39"/>
    <mergeCell ref="B41:C41"/>
    <mergeCell ref="D41:H41"/>
    <mergeCell ref="D42:F42"/>
    <mergeCell ref="B44:C44"/>
    <mergeCell ref="D44:H44"/>
    <mergeCell ref="D45:F45"/>
    <mergeCell ref="B47:C47"/>
    <mergeCell ref="D47:H47"/>
    <mergeCell ref="D48:F48"/>
    <mergeCell ref="B50:C50"/>
    <mergeCell ref="D50:H50"/>
    <mergeCell ref="D51:F51"/>
    <mergeCell ref="B53:C53"/>
    <mergeCell ref="D53:H53"/>
    <mergeCell ref="D54:F54"/>
    <mergeCell ref="B56:C56"/>
    <mergeCell ref="D56:H56"/>
    <mergeCell ref="D57:F57"/>
    <mergeCell ref="B59:C59"/>
    <mergeCell ref="D59:H59"/>
    <mergeCell ref="D60:F60"/>
    <mergeCell ref="B62:C62"/>
    <mergeCell ref="D62:H62"/>
    <mergeCell ref="D63:F63"/>
    <mergeCell ref="B67:J68"/>
    <mergeCell ref="B69:F69"/>
    <mergeCell ref="G70:J70"/>
    <mergeCell ref="G71:J71"/>
    <mergeCell ref="G72:J72"/>
  </mergeCells>
  <printOptions headings="false" gridLines="false" gridLinesSet="true" horizontalCentered="true" verticalCentered="false"/>
  <pageMargins left="0.118055555555556" right="0.118055555555556" top="0.196527777777778" bottom="0.196527777777778" header="0.511811023622047" footer="0.511811023622047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99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J101" activeCellId="0" sqref="J101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04" width="2.11"/>
    <col collapsed="false" customWidth="true" hidden="false" outlineLevel="0" max="2" min="2" style="104" width="11.67"/>
    <col collapsed="false" customWidth="true" hidden="false" outlineLevel="0" max="3" min="3" style="104" width="11.56"/>
    <col collapsed="false" customWidth="true" hidden="false" outlineLevel="0" max="4" min="4" style="104" width="17.56"/>
    <col collapsed="false" customWidth="true" hidden="false" outlineLevel="0" max="5" min="5" style="104" width="31.67"/>
    <col collapsed="false" customWidth="true" hidden="false" outlineLevel="0" max="6" min="6" style="104" width="28"/>
    <col collapsed="false" customWidth="true" hidden="false" outlineLevel="0" max="7" min="7" style="104" width="18.11"/>
    <col collapsed="false" customWidth="true" hidden="false" outlineLevel="0" max="8" min="8" style="104" width="15.66"/>
    <col collapsed="false" customWidth="true" hidden="false" outlineLevel="0" max="9" min="9" style="104" width="16.89"/>
    <col collapsed="false" customWidth="true" hidden="false" outlineLevel="0" max="10" min="10" style="104" width="18.11"/>
  </cols>
  <sheetData>
    <row r="1" customFormat="false" ht="8.25" hidden="false" customHeight="true" outlineLevel="0" collapsed="false"/>
    <row r="2" customFormat="false" ht="28.5" hidden="false" customHeight="true" outlineLevel="0" collapsed="false">
      <c r="B2" s="189"/>
      <c r="C2" s="189"/>
      <c r="D2" s="190" t="str">
        <f aca="false">'ORÇ.'!E2</f>
        <v>PREFEITURA MUNICIPAL DE ESPÍRITO SANTO DO PINHAL - SP</v>
      </c>
      <c r="E2" s="190"/>
      <c r="F2" s="190"/>
      <c r="G2" s="190"/>
      <c r="H2" s="190"/>
      <c r="I2" s="190"/>
      <c r="J2" s="190"/>
    </row>
    <row r="3" customFormat="false" ht="18" hidden="false" customHeight="true" outlineLevel="0" collapsed="false">
      <c r="B3" s="189"/>
      <c r="C3" s="189"/>
      <c r="D3" s="191" t="s">
        <v>460</v>
      </c>
      <c r="E3" s="191"/>
      <c r="F3" s="191"/>
      <c r="G3" s="191"/>
      <c r="H3" s="191"/>
      <c r="I3" s="191"/>
      <c r="J3" s="191"/>
    </row>
    <row r="4" customFormat="false" ht="19.5" hidden="false" customHeight="true" outlineLevel="0" collapsed="false">
      <c r="B4" s="189"/>
      <c r="C4" s="189"/>
      <c r="D4" s="192" t="s">
        <v>387</v>
      </c>
      <c r="E4" s="192"/>
      <c r="F4" s="192"/>
      <c r="G4" s="192"/>
      <c r="H4" s="192"/>
      <c r="I4" s="192"/>
      <c r="J4" s="192"/>
    </row>
    <row r="5" customFormat="false" ht="15" hidden="false" customHeight="true" outlineLevel="0" collapsed="false">
      <c r="B5" s="189"/>
      <c r="C5" s="189"/>
      <c r="D5" s="193" t="s">
        <v>388</v>
      </c>
      <c r="E5" s="193"/>
      <c r="F5" s="193"/>
      <c r="G5" s="193"/>
      <c r="H5" s="193"/>
      <c r="I5" s="193"/>
      <c r="J5" s="193"/>
    </row>
    <row r="6" customFormat="false" ht="12" hidden="false" customHeight="true" outlineLevel="0" collapsed="false">
      <c r="B6" s="194"/>
      <c r="C6" s="194"/>
      <c r="D6" s="194"/>
      <c r="E6" s="194"/>
      <c r="F6" s="194"/>
      <c r="G6" s="194"/>
      <c r="H6" s="194"/>
      <c r="I6" s="194"/>
      <c r="J6" s="194"/>
    </row>
    <row r="7" customFormat="false" ht="33" hidden="false" customHeight="true" outlineLevel="0" collapsed="false">
      <c r="B7" s="156" t="s">
        <v>4</v>
      </c>
      <c r="C7" s="156"/>
      <c r="D7" s="195" t="str">
        <f aca="false">'ORÇ.'!D7</f>
        <v>Projeto de Ampliação em Unidade Básica de Saúde do Município – UBS Iracema Pinto Ricci Nina</v>
      </c>
      <c r="E7" s="195"/>
      <c r="F7" s="195"/>
      <c r="G7" s="195"/>
      <c r="H7" s="195"/>
      <c r="I7" s="195"/>
      <c r="J7" s="195"/>
    </row>
    <row r="8" customFormat="false" ht="33.75" hidden="false" customHeight="true" outlineLevel="0" collapsed="false">
      <c r="B8" s="158" t="s">
        <v>9</v>
      </c>
      <c r="C8" s="158"/>
      <c r="D8" s="159" t="str">
        <f aca="false">'ORÇ.'!D8</f>
        <v>Jardim Diva Sarcinelli, Rua Amadeu Pinto – Espírito Santo do Pinhal – SP</v>
      </c>
      <c r="E8" s="159"/>
      <c r="F8" s="159"/>
      <c r="G8" s="159"/>
      <c r="H8" s="159"/>
      <c r="I8" s="159"/>
      <c r="J8" s="159"/>
    </row>
    <row r="9" customFormat="false" ht="10.5" hidden="false" customHeight="true" outlineLevel="0" collapsed="false">
      <c r="B9" s="196"/>
      <c r="C9" s="196"/>
      <c r="D9" s="196"/>
      <c r="E9" s="196"/>
      <c r="F9" s="196"/>
      <c r="G9" s="196"/>
      <c r="H9" s="196"/>
      <c r="I9" s="196"/>
      <c r="J9" s="196"/>
    </row>
    <row r="10" customFormat="false" ht="24" hidden="false" customHeight="true" outlineLevel="0" collapsed="false">
      <c r="B10" s="197" t="s">
        <v>461</v>
      </c>
      <c r="C10" s="197"/>
      <c r="D10" s="197"/>
      <c r="E10" s="197"/>
      <c r="F10" s="197"/>
      <c r="G10" s="197"/>
      <c r="H10" s="197"/>
      <c r="I10" s="197"/>
      <c r="J10" s="197"/>
    </row>
    <row r="11" customFormat="false" ht="20.25" hidden="false" customHeight="true" outlineLevel="0" collapsed="false">
      <c r="B11" s="198" t="s">
        <v>15</v>
      </c>
      <c r="C11" s="198"/>
      <c r="D11" s="199" t="s">
        <v>16</v>
      </c>
      <c r="E11" s="199"/>
      <c r="F11" s="199"/>
      <c r="G11" s="199"/>
      <c r="H11" s="200" t="s">
        <v>17</v>
      </c>
      <c r="I11" s="200"/>
      <c r="J11" s="201"/>
    </row>
    <row r="12" customFormat="false" ht="33.75" hidden="false" customHeight="true" outlineLevel="0" collapsed="false">
      <c r="B12" s="202" t="s">
        <v>462</v>
      </c>
      <c r="C12" s="202"/>
      <c r="D12" s="203" t="s">
        <v>408</v>
      </c>
      <c r="E12" s="203"/>
      <c r="F12" s="203"/>
      <c r="G12" s="203"/>
      <c r="H12" s="204" t="n">
        <f aca="false">I25</f>
        <v>2139.77666666667</v>
      </c>
      <c r="I12" s="204"/>
      <c r="J12" s="205" t="n">
        <f aca="false">H12/H22</f>
        <v>0.0710828880869144</v>
      </c>
    </row>
    <row r="13" customFormat="false" ht="33.75" hidden="false" customHeight="true" outlineLevel="0" collapsed="false">
      <c r="B13" s="206" t="s">
        <v>463</v>
      </c>
      <c r="C13" s="206"/>
      <c r="D13" s="12" t="s">
        <v>412</v>
      </c>
      <c r="E13" s="12"/>
      <c r="F13" s="12"/>
      <c r="G13" s="12"/>
      <c r="H13" s="207" t="n">
        <f aca="false">I32</f>
        <v>5489.77666666667</v>
      </c>
      <c r="I13" s="207"/>
      <c r="J13" s="208" t="n">
        <f aca="false">H13/H22</f>
        <v>0.182369116598845</v>
      </c>
    </row>
    <row r="14" customFormat="false" ht="33.75" hidden="false" customHeight="true" outlineLevel="0" collapsed="false">
      <c r="B14" s="206" t="s">
        <v>464</v>
      </c>
      <c r="C14" s="206"/>
      <c r="D14" s="12" t="s">
        <v>415</v>
      </c>
      <c r="E14" s="12"/>
      <c r="F14" s="12"/>
      <c r="G14" s="12"/>
      <c r="H14" s="207" t="n">
        <f aca="false">I39</f>
        <v>4478.77666666667</v>
      </c>
      <c r="I14" s="207"/>
      <c r="J14" s="208" t="n">
        <f aca="false">H14/H22</f>
        <v>0.148783929427035</v>
      </c>
    </row>
    <row r="15" customFormat="false" ht="33.75" hidden="false" customHeight="true" outlineLevel="0" collapsed="false">
      <c r="B15" s="206" t="s">
        <v>465</v>
      </c>
      <c r="C15" s="206"/>
      <c r="D15" s="12" t="s">
        <v>418</v>
      </c>
      <c r="E15" s="12"/>
      <c r="F15" s="12"/>
      <c r="G15" s="12"/>
      <c r="H15" s="207" t="n">
        <f aca="false">I46</f>
        <v>1691.77666666667</v>
      </c>
      <c r="I15" s="207"/>
      <c r="J15" s="208" t="n">
        <f aca="false">H15/H22</f>
        <v>0.0562004312590503</v>
      </c>
    </row>
    <row r="16" customFormat="false" ht="33.75" hidden="false" customHeight="true" outlineLevel="0" collapsed="false">
      <c r="B16" s="206" t="s">
        <v>466</v>
      </c>
      <c r="C16" s="206"/>
      <c r="D16" s="12" t="s">
        <v>421</v>
      </c>
      <c r="E16" s="12"/>
      <c r="F16" s="12"/>
      <c r="G16" s="12"/>
      <c r="H16" s="207" t="n">
        <f aca="false">I53</f>
        <v>2450.11</v>
      </c>
      <c r="I16" s="207"/>
      <c r="J16" s="208" t="n">
        <f aca="false">H16/H22</f>
        <v>0.0813920899520495</v>
      </c>
    </row>
    <row r="17" customFormat="false" ht="33.75" hidden="false" customHeight="true" outlineLevel="0" collapsed="false">
      <c r="B17" s="206" t="s">
        <v>467</v>
      </c>
      <c r="C17" s="206"/>
      <c r="D17" s="12" t="s">
        <v>468</v>
      </c>
      <c r="E17" s="12"/>
      <c r="F17" s="12"/>
      <c r="G17" s="12"/>
      <c r="H17" s="207" t="n">
        <f aca="false">I60</f>
        <v>2517.44333333333</v>
      </c>
      <c r="I17" s="207"/>
      <c r="J17" s="208" t="n">
        <f aca="false">H17/H22</f>
        <v>0.0836288877788564</v>
      </c>
    </row>
    <row r="18" customFormat="false" ht="33.75" hidden="false" customHeight="true" outlineLevel="0" collapsed="false">
      <c r="B18" s="206" t="s">
        <v>469</v>
      </c>
      <c r="C18" s="206"/>
      <c r="D18" s="12" t="s">
        <v>470</v>
      </c>
      <c r="E18" s="12"/>
      <c r="F18" s="12"/>
      <c r="G18" s="12"/>
      <c r="H18" s="207" t="n">
        <f aca="false">I67</f>
        <v>2907.77666666667</v>
      </c>
      <c r="I18" s="207"/>
      <c r="J18" s="208" t="n">
        <f aca="false">H18/H22</f>
        <v>0.0965956712203958</v>
      </c>
    </row>
    <row r="19" customFormat="false" ht="33.75" hidden="false" customHeight="true" outlineLevel="0" collapsed="false">
      <c r="B19" s="206" t="s">
        <v>471</v>
      </c>
      <c r="C19" s="206"/>
      <c r="D19" s="12" t="s">
        <v>430</v>
      </c>
      <c r="E19" s="12"/>
      <c r="F19" s="12"/>
      <c r="G19" s="12"/>
      <c r="H19" s="207" t="n">
        <f aca="false">I74</f>
        <v>2624.77666666667</v>
      </c>
      <c r="I19" s="207"/>
      <c r="J19" s="208" t="n">
        <f aca="false">H19/H22</f>
        <v>0.0871944763938655</v>
      </c>
    </row>
    <row r="20" customFormat="false" ht="33.75" hidden="false" customHeight="true" outlineLevel="0" collapsed="false">
      <c r="B20" s="206" t="s">
        <v>472</v>
      </c>
      <c r="C20" s="206"/>
      <c r="D20" s="12" t="s">
        <v>433</v>
      </c>
      <c r="E20" s="12"/>
      <c r="F20" s="12"/>
      <c r="G20" s="12"/>
      <c r="H20" s="207" t="n">
        <f aca="false">I81</f>
        <v>4200.44333333333</v>
      </c>
      <c r="I20" s="207"/>
      <c r="J20" s="208" t="n">
        <f aca="false">H20/H22</f>
        <v>0.139537760192462</v>
      </c>
    </row>
    <row r="21" customFormat="false" ht="33.75" hidden="false" customHeight="true" outlineLevel="0" collapsed="false">
      <c r="B21" s="206" t="s">
        <v>473</v>
      </c>
      <c r="C21" s="206"/>
      <c r="D21" s="12" t="s">
        <v>436</v>
      </c>
      <c r="E21" s="12"/>
      <c r="F21" s="12"/>
      <c r="G21" s="12"/>
      <c r="H21" s="207" t="n">
        <f aca="false">I88</f>
        <v>1601.9</v>
      </c>
      <c r="I21" s="207"/>
      <c r="J21" s="209" t="n">
        <f aca="false">H21/H22</f>
        <v>0.0532147490905258</v>
      </c>
    </row>
    <row r="22" customFormat="false" ht="33.75" hidden="false" customHeight="true" outlineLevel="0" collapsed="false">
      <c r="B22" s="210" t="s">
        <v>474</v>
      </c>
      <c r="C22" s="210"/>
      <c r="D22" s="210"/>
      <c r="E22" s="210"/>
      <c r="F22" s="210"/>
      <c r="G22" s="210"/>
      <c r="H22" s="211" t="n">
        <f aca="false">SUM(H12:I21)</f>
        <v>30102.5566666667</v>
      </c>
      <c r="I22" s="211"/>
      <c r="J22" s="212" t="n">
        <f aca="false">SUM(J11:J21)</f>
        <v>1</v>
      </c>
    </row>
    <row r="23" customFormat="false" ht="14.25" hidden="false" customHeight="false" outlineLevel="0" collapsed="false">
      <c r="B23" s="194"/>
      <c r="C23" s="194"/>
      <c r="D23" s="194"/>
      <c r="E23" s="194"/>
      <c r="F23" s="194"/>
      <c r="G23" s="194"/>
      <c r="H23" s="194"/>
      <c r="I23" s="194"/>
      <c r="J23" s="194"/>
    </row>
    <row r="24" customFormat="false" ht="27.75" hidden="false" customHeight="true" outlineLevel="0" collapsed="false">
      <c r="B24" s="213" t="s">
        <v>475</v>
      </c>
      <c r="C24" s="213"/>
      <c r="D24" s="213"/>
      <c r="E24" s="213"/>
      <c r="F24" s="213"/>
      <c r="G24" s="214" t="s">
        <v>476</v>
      </c>
      <c r="H24" s="214"/>
      <c r="I24" s="215" t="s">
        <v>477</v>
      </c>
      <c r="J24" s="215"/>
    </row>
    <row r="25" customFormat="false" ht="25.5" hidden="false" customHeight="true" outlineLevel="0" collapsed="false">
      <c r="B25" s="216" t="s">
        <v>462</v>
      </c>
      <c r="C25" s="216"/>
      <c r="D25" s="217" t="s">
        <v>478</v>
      </c>
      <c r="E25" s="217"/>
      <c r="F25" s="217"/>
      <c r="G25" s="217"/>
      <c r="H25" s="217"/>
      <c r="I25" s="218" t="n">
        <f aca="false">SUM(J28:J30)/3</f>
        <v>2139.77666666667</v>
      </c>
      <c r="J25" s="218"/>
    </row>
    <row r="26" customFormat="false" ht="3.75" hidden="false" customHeight="true" outlineLevel="0" collapsed="false">
      <c r="B26" s="219"/>
      <c r="C26" s="220"/>
      <c r="D26" s="221"/>
      <c r="E26" s="221"/>
      <c r="F26" s="221"/>
      <c r="G26" s="221"/>
      <c r="H26" s="220"/>
      <c r="I26" s="222"/>
      <c r="J26" s="223"/>
    </row>
    <row r="27" customFormat="false" ht="25.5" hidden="false" customHeight="true" outlineLevel="0" collapsed="false">
      <c r="B27" s="224" t="s">
        <v>479</v>
      </c>
      <c r="C27" s="224"/>
      <c r="D27" s="225" t="s">
        <v>480</v>
      </c>
      <c r="E27" s="225"/>
      <c r="F27" s="225"/>
      <c r="G27" s="225" t="s">
        <v>481</v>
      </c>
      <c r="H27" s="225"/>
      <c r="I27" s="226" t="s">
        <v>482</v>
      </c>
      <c r="J27" s="227" t="s">
        <v>483</v>
      </c>
    </row>
    <row r="28" customFormat="false" ht="21" hidden="false" customHeight="true" outlineLevel="0" collapsed="false">
      <c r="B28" s="228" t="s">
        <v>484</v>
      </c>
      <c r="C28" s="228"/>
      <c r="D28" s="229" t="s">
        <v>485</v>
      </c>
      <c r="E28" s="229"/>
      <c r="F28" s="229"/>
      <c r="G28" s="230" t="s">
        <v>486</v>
      </c>
      <c r="H28" s="230"/>
      <c r="I28" s="231" t="n">
        <v>44555</v>
      </c>
      <c r="J28" s="232" t="n">
        <v>2311.33</v>
      </c>
    </row>
    <row r="29" customFormat="false" ht="21" hidden="false" customHeight="true" outlineLevel="0" collapsed="false">
      <c r="B29" s="228" t="s">
        <v>487</v>
      </c>
      <c r="C29" s="228"/>
      <c r="D29" s="229" t="s">
        <v>488</v>
      </c>
      <c r="E29" s="229"/>
      <c r="F29" s="229"/>
      <c r="G29" s="230" t="s">
        <v>489</v>
      </c>
      <c r="H29" s="230"/>
      <c r="I29" s="231" t="n">
        <v>44554</v>
      </c>
      <c r="J29" s="232" t="n">
        <v>2608</v>
      </c>
    </row>
    <row r="30" customFormat="false" ht="21" hidden="false" customHeight="true" outlineLevel="0" collapsed="false">
      <c r="B30" s="233" t="s">
        <v>490</v>
      </c>
      <c r="C30" s="233"/>
      <c r="D30" s="234" t="s">
        <v>491</v>
      </c>
      <c r="E30" s="234"/>
      <c r="F30" s="234"/>
      <c r="G30" s="171" t="s">
        <v>492</v>
      </c>
      <c r="H30" s="171"/>
      <c r="I30" s="235" t="n">
        <v>44536</v>
      </c>
      <c r="J30" s="236" t="n">
        <v>1500</v>
      </c>
    </row>
    <row r="31" customFormat="false" ht="11.25" hidden="false" customHeight="true" outlineLevel="0" collapsed="false">
      <c r="B31" s="237"/>
      <c r="C31" s="237"/>
      <c r="D31" s="237"/>
      <c r="E31" s="237"/>
      <c r="F31" s="237"/>
      <c r="G31" s="237"/>
      <c r="H31" s="237"/>
      <c r="I31" s="237"/>
      <c r="J31" s="237"/>
    </row>
    <row r="32" customFormat="false" ht="25.5" hidden="false" customHeight="true" outlineLevel="0" collapsed="false">
      <c r="B32" s="238" t="s">
        <v>463</v>
      </c>
      <c r="C32" s="238"/>
      <c r="D32" s="239" t="s">
        <v>493</v>
      </c>
      <c r="E32" s="239"/>
      <c r="F32" s="239"/>
      <c r="G32" s="239"/>
      <c r="H32" s="239"/>
      <c r="I32" s="240" t="n">
        <f aca="false">SUM(J35:J37)/3</f>
        <v>5489.77666666667</v>
      </c>
      <c r="J32" s="240"/>
    </row>
    <row r="33" customFormat="false" ht="4.5" hidden="false" customHeight="true" outlineLevel="0" collapsed="false">
      <c r="B33" s="219"/>
      <c r="C33" s="220"/>
      <c r="D33" s="221"/>
      <c r="E33" s="221"/>
      <c r="F33" s="221"/>
      <c r="G33" s="221"/>
      <c r="H33" s="220"/>
      <c r="I33" s="222"/>
      <c r="J33" s="223"/>
    </row>
    <row r="34" customFormat="false" ht="23.85" hidden="false" customHeight="false" outlineLevel="0" collapsed="false">
      <c r="B34" s="224" t="s">
        <v>479</v>
      </c>
      <c r="C34" s="224"/>
      <c r="D34" s="225" t="s">
        <v>480</v>
      </c>
      <c r="E34" s="225"/>
      <c r="F34" s="225"/>
      <c r="G34" s="225" t="s">
        <v>481</v>
      </c>
      <c r="H34" s="225"/>
      <c r="I34" s="226" t="s">
        <v>482</v>
      </c>
      <c r="J34" s="227" t="s">
        <v>483</v>
      </c>
    </row>
    <row r="35" customFormat="false" ht="21" hidden="false" customHeight="true" outlineLevel="0" collapsed="false">
      <c r="B35" s="228" t="s">
        <v>484</v>
      </c>
      <c r="C35" s="228"/>
      <c r="D35" s="229" t="s">
        <v>485</v>
      </c>
      <c r="E35" s="229"/>
      <c r="F35" s="229"/>
      <c r="G35" s="230" t="s">
        <v>486</v>
      </c>
      <c r="H35" s="230"/>
      <c r="I35" s="231" t="n">
        <v>44555</v>
      </c>
      <c r="J35" s="232" t="n">
        <v>5881.33</v>
      </c>
    </row>
    <row r="36" customFormat="false" ht="21" hidden="false" customHeight="true" outlineLevel="0" collapsed="false">
      <c r="B36" s="228" t="s">
        <v>487</v>
      </c>
      <c r="C36" s="228"/>
      <c r="D36" s="229" t="s">
        <v>488</v>
      </c>
      <c r="E36" s="229"/>
      <c r="F36" s="229"/>
      <c r="G36" s="230" t="s">
        <v>489</v>
      </c>
      <c r="H36" s="230"/>
      <c r="I36" s="231" t="n">
        <v>44554</v>
      </c>
      <c r="J36" s="232" t="n">
        <v>7488</v>
      </c>
    </row>
    <row r="37" customFormat="false" ht="21" hidden="false" customHeight="true" outlineLevel="0" collapsed="false">
      <c r="B37" s="233" t="s">
        <v>490</v>
      </c>
      <c r="C37" s="233"/>
      <c r="D37" s="234" t="s">
        <v>491</v>
      </c>
      <c r="E37" s="234"/>
      <c r="F37" s="234"/>
      <c r="G37" s="171" t="s">
        <v>492</v>
      </c>
      <c r="H37" s="171"/>
      <c r="I37" s="235" t="n">
        <v>44536</v>
      </c>
      <c r="J37" s="236" t="n">
        <v>3100</v>
      </c>
    </row>
    <row r="38" customFormat="false" ht="11.25" hidden="false" customHeight="true" outlineLevel="0" collapsed="false">
      <c r="B38" s="194"/>
      <c r="C38" s="194"/>
      <c r="D38" s="194"/>
      <c r="E38" s="194"/>
      <c r="F38" s="194"/>
      <c r="G38" s="194"/>
      <c r="H38" s="194"/>
      <c r="I38" s="194"/>
      <c r="J38" s="194"/>
    </row>
    <row r="39" customFormat="false" ht="25.5" hidden="false" customHeight="true" outlineLevel="0" collapsed="false">
      <c r="B39" s="238" t="s">
        <v>464</v>
      </c>
      <c r="C39" s="238"/>
      <c r="D39" s="241" t="s">
        <v>494</v>
      </c>
      <c r="E39" s="241"/>
      <c r="F39" s="241"/>
      <c r="G39" s="241"/>
      <c r="H39" s="241"/>
      <c r="I39" s="240" t="n">
        <f aca="false">SUM(J42:J44)/3</f>
        <v>4478.77666666667</v>
      </c>
      <c r="J39" s="240"/>
    </row>
    <row r="40" customFormat="false" ht="4.5" hidden="false" customHeight="true" outlineLevel="0" collapsed="false">
      <c r="B40" s="219"/>
      <c r="C40" s="220"/>
      <c r="D40" s="221"/>
      <c r="E40" s="221"/>
      <c r="F40" s="221"/>
      <c r="G40" s="221"/>
      <c r="H40" s="220"/>
      <c r="I40" s="222"/>
      <c r="J40" s="223"/>
    </row>
    <row r="41" customFormat="false" ht="23.85" hidden="false" customHeight="false" outlineLevel="0" collapsed="false">
      <c r="B41" s="224" t="s">
        <v>479</v>
      </c>
      <c r="C41" s="224"/>
      <c r="D41" s="225" t="s">
        <v>480</v>
      </c>
      <c r="E41" s="225"/>
      <c r="F41" s="225"/>
      <c r="G41" s="225" t="s">
        <v>481</v>
      </c>
      <c r="H41" s="225"/>
      <c r="I41" s="226" t="s">
        <v>482</v>
      </c>
      <c r="J41" s="227" t="s">
        <v>483</v>
      </c>
    </row>
    <row r="42" customFormat="false" ht="20.25" hidden="false" customHeight="true" outlineLevel="0" collapsed="false">
      <c r="B42" s="228" t="s">
        <v>484</v>
      </c>
      <c r="C42" s="228"/>
      <c r="D42" s="229" t="s">
        <v>485</v>
      </c>
      <c r="E42" s="229"/>
      <c r="F42" s="229"/>
      <c r="G42" s="230" t="s">
        <v>486</v>
      </c>
      <c r="H42" s="230"/>
      <c r="I42" s="231" t="n">
        <v>44555</v>
      </c>
      <c r="J42" s="232" t="n">
        <v>4936.33</v>
      </c>
    </row>
    <row r="43" customFormat="false" ht="21" hidden="false" customHeight="true" outlineLevel="0" collapsed="false">
      <c r="B43" s="228" t="s">
        <v>487</v>
      </c>
      <c r="C43" s="228"/>
      <c r="D43" s="229" t="s">
        <v>488</v>
      </c>
      <c r="E43" s="229"/>
      <c r="F43" s="229"/>
      <c r="G43" s="230" t="s">
        <v>489</v>
      </c>
      <c r="H43" s="230"/>
      <c r="I43" s="231" t="n">
        <v>44554</v>
      </c>
      <c r="J43" s="232" t="n">
        <v>5600</v>
      </c>
    </row>
    <row r="44" customFormat="false" ht="21" hidden="false" customHeight="true" outlineLevel="0" collapsed="false">
      <c r="B44" s="233" t="s">
        <v>490</v>
      </c>
      <c r="C44" s="233"/>
      <c r="D44" s="234" t="s">
        <v>491</v>
      </c>
      <c r="E44" s="234"/>
      <c r="F44" s="234"/>
      <c r="G44" s="171" t="s">
        <v>492</v>
      </c>
      <c r="H44" s="171"/>
      <c r="I44" s="235" t="n">
        <v>44536</v>
      </c>
      <c r="J44" s="236" t="n">
        <v>2900</v>
      </c>
    </row>
    <row r="45" customFormat="false" ht="11.25" hidden="false" customHeight="true" outlineLevel="0" collapsed="false">
      <c r="B45" s="194"/>
      <c r="C45" s="194"/>
      <c r="D45" s="194"/>
      <c r="E45" s="194"/>
      <c r="F45" s="194"/>
      <c r="G45" s="194"/>
      <c r="H45" s="194"/>
      <c r="I45" s="194"/>
      <c r="J45" s="194"/>
    </row>
    <row r="46" customFormat="false" ht="25.5" hidden="false" customHeight="true" outlineLevel="0" collapsed="false">
      <c r="B46" s="238" t="s">
        <v>465</v>
      </c>
      <c r="C46" s="238"/>
      <c r="D46" s="241" t="s">
        <v>495</v>
      </c>
      <c r="E46" s="241"/>
      <c r="F46" s="241"/>
      <c r="G46" s="241"/>
      <c r="H46" s="241"/>
      <c r="I46" s="240" t="n">
        <f aca="false">SUM(J49:J51)/3</f>
        <v>1691.77666666667</v>
      </c>
      <c r="J46" s="240"/>
    </row>
    <row r="47" customFormat="false" ht="4.5" hidden="false" customHeight="true" outlineLevel="0" collapsed="false">
      <c r="B47" s="219"/>
      <c r="C47" s="220"/>
      <c r="D47" s="221"/>
      <c r="E47" s="221"/>
      <c r="F47" s="221"/>
      <c r="G47" s="221"/>
      <c r="H47" s="220"/>
      <c r="I47" s="222"/>
      <c r="J47" s="223"/>
    </row>
    <row r="48" customFormat="false" ht="23.85" hidden="false" customHeight="false" outlineLevel="0" collapsed="false">
      <c r="B48" s="224" t="s">
        <v>479</v>
      </c>
      <c r="C48" s="224"/>
      <c r="D48" s="225" t="s">
        <v>480</v>
      </c>
      <c r="E48" s="225"/>
      <c r="F48" s="225"/>
      <c r="G48" s="225" t="s">
        <v>481</v>
      </c>
      <c r="H48" s="225"/>
      <c r="I48" s="226" t="s">
        <v>482</v>
      </c>
      <c r="J48" s="227" t="s">
        <v>483</v>
      </c>
    </row>
    <row r="49" customFormat="false" ht="21" hidden="false" customHeight="true" outlineLevel="0" collapsed="false">
      <c r="B49" s="228" t="s">
        <v>484</v>
      </c>
      <c r="C49" s="228"/>
      <c r="D49" s="229" t="s">
        <v>485</v>
      </c>
      <c r="E49" s="229"/>
      <c r="F49" s="229"/>
      <c r="G49" s="230" t="s">
        <v>486</v>
      </c>
      <c r="H49" s="230"/>
      <c r="I49" s="231" t="n">
        <v>44555</v>
      </c>
      <c r="J49" s="232" t="n">
        <v>2101.33</v>
      </c>
    </row>
    <row r="50" customFormat="false" ht="21" hidden="false" customHeight="true" outlineLevel="0" collapsed="false">
      <c r="B50" s="228" t="s">
        <v>487</v>
      </c>
      <c r="C50" s="228"/>
      <c r="D50" s="229" t="s">
        <v>488</v>
      </c>
      <c r="E50" s="229"/>
      <c r="F50" s="229"/>
      <c r="G50" s="230" t="s">
        <v>489</v>
      </c>
      <c r="H50" s="230"/>
      <c r="I50" s="231" t="n">
        <v>44554</v>
      </c>
      <c r="J50" s="232" t="n">
        <v>1874</v>
      </c>
    </row>
    <row r="51" customFormat="false" ht="21" hidden="false" customHeight="true" outlineLevel="0" collapsed="false">
      <c r="B51" s="233" t="s">
        <v>490</v>
      </c>
      <c r="C51" s="233"/>
      <c r="D51" s="234" t="s">
        <v>491</v>
      </c>
      <c r="E51" s="234"/>
      <c r="F51" s="234"/>
      <c r="G51" s="171" t="s">
        <v>492</v>
      </c>
      <c r="H51" s="171"/>
      <c r="I51" s="235" t="n">
        <v>44536</v>
      </c>
      <c r="J51" s="236" t="n">
        <v>1100</v>
      </c>
    </row>
    <row r="52" customFormat="false" ht="11.25" hidden="false" customHeight="true" outlineLevel="0" collapsed="false">
      <c r="B52" s="194"/>
      <c r="C52" s="194"/>
      <c r="D52" s="194"/>
      <c r="E52" s="194"/>
      <c r="F52" s="194"/>
      <c r="G52" s="194"/>
      <c r="H52" s="194"/>
      <c r="I52" s="194"/>
      <c r="J52" s="194"/>
    </row>
    <row r="53" customFormat="false" ht="25.5" hidden="false" customHeight="true" outlineLevel="0" collapsed="false">
      <c r="B53" s="238" t="s">
        <v>466</v>
      </c>
      <c r="C53" s="238"/>
      <c r="D53" s="241" t="s">
        <v>496</v>
      </c>
      <c r="E53" s="241"/>
      <c r="F53" s="241"/>
      <c r="G53" s="241"/>
      <c r="H53" s="241"/>
      <c r="I53" s="240" t="n">
        <f aca="false">SUM(J56:J58)/3</f>
        <v>2450.11</v>
      </c>
      <c r="J53" s="240"/>
    </row>
    <row r="54" customFormat="false" ht="4.5" hidden="false" customHeight="true" outlineLevel="0" collapsed="false">
      <c r="B54" s="219"/>
      <c r="C54" s="220"/>
      <c r="D54" s="221"/>
      <c r="E54" s="221"/>
      <c r="F54" s="221"/>
      <c r="G54" s="221"/>
      <c r="H54" s="220"/>
      <c r="I54" s="222"/>
      <c r="J54" s="223"/>
    </row>
    <row r="55" customFormat="false" ht="23.85" hidden="false" customHeight="false" outlineLevel="0" collapsed="false">
      <c r="B55" s="224" t="s">
        <v>479</v>
      </c>
      <c r="C55" s="224"/>
      <c r="D55" s="225" t="s">
        <v>480</v>
      </c>
      <c r="E55" s="225"/>
      <c r="F55" s="225"/>
      <c r="G55" s="225" t="s">
        <v>481</v>
      </c>
      <c r="H55" s="225"/>
      <c r="I55" s="226" t="s">
        <v>482</v>
      </c>
      <c r="J55" s="227" t="s">
        <v>483</v>
      </c>
    </row>
    <row r="56" customFormat="false" ht="21" hidden="false" customHeight="true" outlineLevel="0" collapsed="false">
      <c r="B56" s="228" t="s">
        <v>484</v>
      </c>
      <c r="C56" s="228"/>
      <c r="D56" s="229" t="s">
        <v>485</v>
      </c>
      <c r="E56" s="229"/>
      <c r="F56" s="229"/>
      <c r="G56" s="230" t="s">
        <v>486</v>
      </c>
      <c r="H56" s="230"/>
      <c r="I56" s="231" t="n">
        <v>44555</v>
      </c>
      <c r="J56" s="232" t="n">
        <v>2311.33</v>
      </c>
    </row>
    <row r="57" customFormat="false" ht="21" hidden="false" customHeight="true" outlineLevel="0" collapsed="false">
      <c r="B57" s="228" t="s">
        <v>487</v>
      </c>
      <c r="C57" s="228"/>
      <c r="D57" s="229" t="s">
        <v>488</v>
      </c>
      <c r="E57" s="229"/>
      <c r="F57" s="229"/>
      <c r="G57" s="230" t="s">
        <v>489</v>
      </c>
      <c r="H57" s="230"/>
      <c r="I57" s="231" t="n">
        <v>44554</v>
      </c>
      <c r="J57" s="232" t="n">
        <v>3389</v>
      </c>
    </row>
    <row r="58" customFormat="false" ht="21" hidden="false" customHeight="true" outlineLevel="0" collapsed="false">
      <c r="B58" s="233" t="s">
        <v>490</v>
      </c>
      <c r="C58" s="233"/>
      <c r="D58" s="234" t="s">
        <v>491</v>
      </c>
      <c r="E58" s="234"/>
      <c r="F58" s="234"/>
      <c r="G58" s="171" t="s">
        <v>492</v>
      </c>
      <c r="H58" s="171"/>
      <c r="I58" s="235" t="n">
        <v>44536</v>
      </c>
      <c r="J58" s="236" t="n">
        <v>1650</v>
      </c>
    </row>
    <row r="59" customFormat="false" ht="11.25" hidden="false" customHeight="true" outlineLevel="0" collapsed="false">
      <c r="B59" s="194"/>
      <c r="C59" s="194"/>
      <c r="D59" s="194"/>
      <c r="E59" s="194"/>
      <c r="F59" s="194"/>
      <c r="G59" s="194"/>
      <c r="H59" s="194"/>
      <c r="I59" s="194"/>
      <c r="J59" s="194"/>
    </row>
    <row r="60" customFormat="false" ht="25.5" hidden="false" customHeight="true" outlineLevel="0" collapsed="false">
      <c r="B60" s="238" t="s">
        <v>467</v>
      </c>
      <c r="C60" s="238"/>
      <c r="D60" s="241" t="s">
        <v>497</v>
      </c>
      <c r="E60" s="241"/>
      <c r="F60" s="241"/>
      <c r="G60" s="241"/>
      <c r="H60" s="241"/>
      <c r="I60" s="240" t="n">
        <f aca="false">SUM(J63:J65)/3</f>
        <v>2517.44333333333</v>
      </c>
      <c r="J60" s="240"/>
    </row>
    <row r="61" customFormat="false" ht="5.25" hidden="false" customHeight="true" outlineLevel="0" collapsed="false">
      <c r="B61" s="219"/>
      <c r="C61" s="220"/>
      <c r="D61" s="221"/>
      <c r="E61" s="221"/>
      <c r="F61" s="221"/>
      <c r="G61" s="221"/>
      <c r="H61" s="220"/>
      <c r="I61" s="222"/>
      <c r="J61" s="223"/>
    </row>
    <row r="62" customFormat="false" ht="23.85" hidden="false" customHeight="false" outlineLevel="0" collapsed="false">
      <c r="B62" s="224" t="s">
        <v>479</v>
      </c>
      <c r="C62" s="224"/>
      <c r="D62" s="225" t="s">
        <v>480</v>
      </c>
      <c r="E62" s="225"/>
      <c r="F62" s="225"/>
      <c r="G62" s="225" t="s">
        <v>481</v>
      </c>
      <c r="H62" s="225"/>
      <c r="I62" s="226" t="s">
        <v>482</v>
      </c>
      <c r="J62" s="227" t="s">
        <v>483</v>
      </c>
    </row>
    <row r="63" customFormat="false" ht="21" hidden="false" customHeight="true" outlineLevel="0" collapsed="false">
      <c r="B63" s="228" t="s">
        <v>484</v>
      </c>
      <c r="C63" s="228"/>
      <c r="D63" s="229" t="s">
        <v>485</v>
      </c>
      <c r="E63" s="229"/>
      <c r="F63" s="229"/>
      <c r="G63" s="230" t="s">
        <v>486</v>
      </c>
      <c r="H63" s="230"/>
      <c r="I63" s="231" t="n">
        <v>44555</v>
      </c>
      <c r="J63" s="232" t="n">
        <v>3046.33</v>
      </c>
    </row>
    <row r="64" customFormat="false" ht="21" hidden="false" customHeight="true" outlineLevel="0" collapsed="false">
      <c r="B64" s="228" t="s">
        <v>487</v>
      </c>
      <c r="C64" s="228"/>
      <c r="D64" s="229" t="s">
        <v>488</v>
      </c>
      <c r="E64" s="229"/>
      <c r="F64" s="229"/>
      <c r="G64" s="230" t="s">
        <v>489</v>
      </c>
      <c r="H64" s="230"/>
      <c r="I64" s="231" t="n">
        <v>44554</v>
      </c>
      <c r="J64" s="232" t="n">
        <v>2706</v>
      </c>
    </row>
    <row r="65" customFormat="false" ht="21" hidden="false" customHeight="true" outlineLevel="0" collapsed="false">
      <c r="B65" s="233" t="s">
        <v>490</v>
      </c>
      <c r="C65" s="233"/>
      <c r="D65" s="234" t="s">
        <v>491</v>
      </c>
      <c r="E65" s="234"/>
      <c r="F65" s="234"/>
      <c r="G65" s="171" t="s">
        <v>492</v>
      </c>
      <c r="H65" s="171"/>
      <c r="I65" s="235" t="n">
        <v>44536</v>
      </c>
      <c r="J65" s="236" t="n">
        <v>1800</v>
      </c>
    </row>
    <row r="66" customFormat="false" ht="11.25" hidden="false" customHeight="true" outlineLevel="0" collapsed="false">
      <c r="B66" s="194"/>
      <c r="C66" s="194"/>
      <c r="D66" s="194"/>
      <c r="E66" s="194"/>
      <c r="F66" s="194"/>
      <c r="G66" s="194"/>
      <c r="H66" s="194"/>
      <c r="I66" s="194"/>
      <c r="J66" s="194"/>
    </row>
    <row r="67" customFormat="false" ht="25.5" hidden="false" customHeight="true" outlineLevel="0" collapsed="false">
      <c r="B67" s="238" t="s">
        <v>469</v>
      </c>
      <c r="C67" s="238"/>
      <c r="D67" s="241" t="s">
        <v>498</v>
      </c>
      <c r="E67" s="241"/>
      <c r="F67" s="241"/>
      <c r="G67" s="241"/>
      <c r="H67" s="241"/>
      <c r="I67" s="240" t="n">
        <f aca="false">SUM(J70:J72)/3</f>
        <v>2907.77666666667</v>
      </c>
      <c r="J67" s="240"/>
    </row>
    <row r="68" customFormat="false" ht="4.5" hidden="false" customHeight="true" outlineLevel="0" collapsed="false">
      <c r="B68" s="219"/>
      <c r="C68" s="220"/>
      <c r="D68" s="221"/>
      <c r="E68" s="221"/>
      <c r="F68" s="221"/>
      <c r="G68" s="221"/>
      <c r="H68" s="220"/>
      <c r="I68" s="222"/>
      <c r="J68" s="223"/>
    </row>
    <row r="69" customFormat="false" ht="23.85" hidden="false" customHeight="false" outlineLevel="0" collapsed="false">
      <c r="B69" s="224" t="s">
        <v>479</v>
      </c>
      <c r="C69" s="224"/>
      <c r="D69" s="225" t="s">
        <v>480</v>
      </c>
      <c r="E69" s="225"/>
      <c r="F69" s="225"/>
      <c r="G69" s="225" t="s">
        <v>481</v>
      </c>
      <c r="H69" s="225"/>
      <c r="I69" s="226" t="s">
        <v>482</v>
      </c>
      <c r="J69" s="227" t="s">
        <v>483</v>
      </c>
    </row>
    <row r="70" customFormat="false" ht="21" hidden="false" customHeight="true" outlineLevel="0" collapsed="false">
      <c r="B70" s="228" t="s">
        <v>484</v>
      </c>
      <c r="C70" s="228"/>
      <c r="D70" s="229" t="s">
        <v>485</v>
      </c>
      <c r="E70" s="229"/>
      <c r="F70" s="229"/>
      <c r="G70" s="230" t="s">
        <v>486</v>
      </c>
      <c r="H70" s="230"/>
      <c r="I70" s="231" t="n">
        <v>44555</v>
      </c>
      <c r="J70" s="232" t="n">
        <v>2941.33</v>
      </c>
    </row>
    <row r="71" customFormat="false" ht="21" hidden="false" customHeight="true" outlineLevel="0" collapsed="false">
      <c r="B71" s="228" t="s">
        <v>487</v>
      </c>
      <c r="C71" s="228"/>
      <c r="D71" s="229" t="s">
        <v>488</v>
      </c>
      <c r="E71" s="229"/>
      <c r="F71" s="229"/>
      <c r="G71" s="230" t="s">
        <v>489</v>
      </c>
      <c r="H71" s="230"/>
      <c r="I71" s="231" t="n">
        <v>44554</v>
      </c>
      <c r="J71" s="232" t="n">
        <v>3982</v>
      </c>
    </row>
    <row r="72" customFormat="false" ht="21" hidden="false" customHeight="true" outlineLevel="0" collapsed="false">
      <c r="B72" s="233" t="s">
        <v>490</v>
      </c>
      <c r="C72" s="233"/>
      <c r="D72" s="234" t="s">
        <v>491</v>
      </c>
      <c r="E72" s="234"/>
      <c r="F72" s="234"/>
      <c r="G72" s="171" t="s">
        <v>492</v>
      </c>
      <c r="H72" s="171"/>
      <c r="I72" s="235" t="n">
        <v>44536</v>
      </c>
      <c r="J72" s="236" t="n">
        <v>1800</v>
      </c>
    </row>
    <row r="73" customFormat="false" ht="11.25" hidden="false" customHeight="true" outlineLevel="0" collapsed="false">
      <c r="B73" s="194"/>
      <c r="C73" s="194"/>
      <c r="D73" s="194"/>
      <c r="E73" s="194"/>
      <c r="F73" s="194"/>
      <c r="G73" s="194"/>
      <c r="H73" s="194"/>
      <c r="I73" s="194"/>
      <c r="J73" s="194"/>
    </row>
    <row r="74" customFormat="false" ht="25.5" hidden="false" customHeight="true" outlineLevel="0" collapsed="false">
      <c r="B74" s="238" t="s">
        <v>471</v>
      </c>
      <c r="C74" s="238"/>
      <c r="D74" s="241" t="s">
        <v>499</v>
      </c>
      <c r="E74" s="241"/>
      <c r="F74" s="241"/>
      <c r="G74" s="241"/>
      <c r="H74" s="241"/>
      <c r="I74" s="240" t="n">
        <f aca="false">SUM(J77:J79)/3</f>
        <v>2624.77666666667</v>
      </c>
      <c r="J74" s="240"/>
    </row>
    <row r="75" customFormat="false" ht="4.5" hidden="false" customHeight="true" outlineLevel="0" collapsed="false">
      <c r="B75" s="219"/>
      <c r="C75" s="220"/>
      <c r="D75" s="221"/>
      <c r="E75" s="221"/>
      <c r="F75" s="221"/>
      <c r="G75" s="221"/>
      <c r="H75" s="220"/>
      <c r="I75" s="222"/>
      <c r="J75" s="223"/>
    </row>
    <row r="76" customFormat="false" ht="25.5" hidden="false" customHeight="true" outlineLevel="0" collapsed="false">
      <c r="B76" s="224" t="s">
        <v>479</v>
      </c>
      <c r="C76" s="224"/>
      <c r="D76" s="225" t="s">
        <v>480</v>
      </c>
      <c r="E76" s="225"/>
      <c r="F76" s="225"/>
      <c r="G76" s="225" t="s">
        <v>481</v>
      </c>
      <c r="H76" s="225"/>
      <c r="I76" s="226" t="s">
        <v>482</v>
      </c>
      <c r="J76" s="227" t="s">
        <v>483</v>
      </c>
    </row>
    <row r="77" customFormat="false" ht="21" hidden="false" customHeight="true" outlineLevel="0" collapsed="false">
      <c r="B77" s="228" t="s">
        <v>484</v>
      </c>
      <c r="C77" s="228"/>
      <c r="D77" s="229" t="s">
        <v>485</v>
      </c>
      <c r="E77" s="229"/>
      <c r="F77" s="229"/>
      <c r="G77" s="230" t="s">
        <v>486</v>
      </c>
      <c r="H77" s="230"/>
      <c r="I77" s="231" t="n">
        <v>44555</v>
      </c>
      <c r="J77" s="232" t="n">
        <v>3151.33</v>
      </c>
    </row>
    <row r="78" customFormat="false" ht="21" hidden="false" customHeight="true" outlineLevel="0" collapsed="false">
      <c r="B78" s="228" t="s">
        <v>487</v>
      </c>
      <c r="C78" s="228"/>
      <c r="D78" s="229" t="s">
        <v>488</v>
      </c>
      <c r="E78" s="229"/>
      <c r="F78" s="229"/>
      <c r="G78" s="230" t="s">
        <v>489</v>
      </c>
      <c r="H78" s="230"/>
      <c r="I78" s="231" t="n">
        <v>44554</v>
      </c>
      <c r="J78" s="232" t="n">
        <v>2973</v>
      </c>
    </row>
    <row r="79" customFormat="false" ht="21" hidden="false" customHeight="true" outlineLevel="0" collapsed="false">
      <c r="B79" s="233" t="s">
        <v>490</v>
      </c>
      <c r="C79" s="233"/>
      <c r="D79" s="234" t="s">
        <v>491</v>
      </c>
      <c r="E79" s="234"/>
      <c r="F79" s="234"/>
      <c r="G79" s="171" t="s">
        <v>492</v>
      </c>
      <c r="H79" s="171"/>
      <c r="I79" s="235" t="n">
        <v>44536</v>
      </c>
      <c r="J79" s="236" t="n">
        <v>1750</v>
      </c>
    </row>
    <row r="80" customFormat="false" ht="11.25" hidden="false" customHeight="true" outlineLevel="0" collapsed="false">
      <c r="B80" s="194"/>
      <c r="C80" s="194"/>
      <c r="D80" s="194"/>
      <c r="E80" s="194"/>
      <c r="F80" s="194"/>
      <c r="G80" s="194"/>
      <c r="H80" s="194"/>
      <c r="I80" s="194"/>
      <c r="J80" s="194"/>
    </row>
    <row r="81" customFormat="false" ht="25.5" hidden="false" customHeight="true" outlineLevel="0" collapsed="false">
      <c r="B81" s="238" t="s">
        <v>472</v>
      </c>
      <c r="C81" s="238"/>
      <c r="D81" s="241" t="s">
        <v>500</v>
      </c>
      <c r="E81" s="241"/>
      <c r="F81" s="241"/>
      <c r="G81" s="241"/>
      <c r="H81" s="241"/>
      <c r="I81" s="240" t="n">
        <f aca="false">SUM(J84:J86)/3</f>
        <v>4200.44333333333</v>
      </c>
      <c r="J81" s="240"/>
    </row>
    <row r="82" customFormat="false" ht="4.5" hidden="false" customHeight="true" outlineLevel="0" collapsed="false">
      <c r="B82" s="219"/>
      <c r="C82" s="220"/>
      <c r="D82" s="242"/>
      <c r="E82" s="221"/>
      <c r="F82" s="221"/>
      <c r="G82" s="221"/>
      <c r="H82" s="220"/>
      <c r="I82" s="222"/>
      <c r="J82" s="223"/>
    </row>
    <row r="83" customFormat="false" ht="23.85" hidden="false" customHeight="false" outlineLevel="0" collapsed="false">
      <c r="B83" s="224" t="s">
        <v>479</v>
      </c>
      <c r="C83" s="224"/>
      <c r="D83" s="225" t="s">
        <v>480</v>
      </c>
      <c r="E83" s="225"/>
      <c r="F83" s="225"/>
      <c r="G83" s="225" t="s">
        <v>481</v>
      </c>
      <c r="H83" s="225"/>
      <c r="I83" s="226" t="s">
        <v>482</v>
      </c>
      <c r="J83" s="227" t="s">
        <v>483</v>
      </c>
    </row>
    <row r="84" customFormat="false" ht="21" hidden="false" customHeight="true" outlineLevel="0" collapsed="false">
      <c r="B84" s="228" t="s">
        <v>484</v>
      </c>
      <c r="C84" s="228"/>
      <c r="D84" s="229" t="s">
        <v>485</v>
      </c>
      <c r="E84" s="229"/>
      <c r="F84" s="229"/>
      <c r="G84" s="230" t="s">
        <v>486</v>
      </c>
      <c r="H84" s="230"/>
      <c r="I84" s="231" t="n">
        <v>44555</v>
      </c>
      <c r="J84" s="232" t="n">
        <v>4327.33</v>
      </c>
    </row>
    <row r="85" customFormat="false" ht="21" hidden="false" customHeight="true" outlineLevel="0" collapsed="false">
      <c r="B85" s="228" t="s">
        <v>487</v>
      </c>
      <c r="C85" s="228"/>
      <c r="D85" s="229" t="s">
        <v>488</v>
      </c>
      <c r="E85" s="229"/>
      <c r="F85" s="229"/>
      <c r="G85" s="230" t="s">
        <v>489</v>
      </c>
      <c r="H85" s="230"/>
      <c r="I85" s="231" t="n">
        <v>44554</v>
      </c>
      <c r="J85" s="232" t="n">
        <v>5574</v>
      </c>
    </row>
    <row r="86" customFormat="false" ht="21" hidden="false" customHeight="true" outlineLevel="0" collapsed="false">
      <c r="B86" s="233" t="s">
        <v>490</v>
      </c>
      <c r="C86" s="233"/>
      <c r="D86" s="234" t="s">
        <v>491</v>
      </c>
      <c r="E86" s="234"/>
      <c r="F86" s="234"/>
      <c r="G86" s="171" t="s">
        <v>492</v>
      </c>
      <c r="H86" s="171"/>
      <c r="I86" s="235" t="n">
        <v>44536</v>
      </c>
      <c r="J86" s="236" t="n">
        <v>2700</v>
      </c>
    </row>
    <row r="87" customFormat="false" ht="11.25" hidden="false" customHeight="true" outlineLevel="0" collapsed="false">
      <c r="B87" s="194"/>
      <c r="C87" s="194"/>
      <c r="D87" s="194"/>
      <c r="E87" s="194"/>
      <c r="F87" s="194"/>
      <c r="G87" s="194"/>
      <c r="H87" s="194"/>
      <c r="I87" s="194"/>
      <c r="J87" s="194"/>
    </row>
    <row r="88" customFormat="false" ht="25.5" hidden="false" customHeight="true" outlineLevel="0" collapsed="false">
      <c r="B88" s="238" t="s">
        <v>473</v>
      </c>
      <c r="C88" s="238"/>
      <c r="D88" s="241" t="s">
        <v>501</v>
      </c>
      <c r="E88" s="241"/>
      <c r="F88" s="241"/>
      <c r="G88" s="241"/>
      <c r="H88" s="241"/>
      <c r="I88" s="240" t="n">
        <f aca="false">I90</f>
        <v>1601.9</v>
      </c>
      <c r="J88" s="240"/>
    </row>
    <row r="89" customFormat="false" ht="4.5" hidden="false" customHeight="true" outlineLevel="0" collapsed="false">
      <c r="B89" s="219"/>
      <c r="C89" s="220"/>
      <c r="D89" s="221"/>
      <c r="E89" s="221"/>
      <c r="F89" s="221"/>
      <c r="G89" s="221"/>
      <c r="H89" s="220"/>
      <c r="I89" s="222"/>
      <c r="J89" s="223"/>
    </row>
    <row r="90" customFormat="false" ht="19.5" hidden="false" customHeight="true" outlineLevel="0" collapsed="false">
      <c r="B90" s="243" t="s">
        <v>389</v>
      </c>
      <c r="C90" s="244" t="s">
        <v>390</v>
      </c>
      <c r="D90" s="230" t="s">
        <v>502</v>
      </c>
      <c r="E90" s="230"/>
      <c r="F90" s="230"/>
      <c r="G90" s="244" t="s">
        <v>503</v>
      </c>
      <c r="H90" s="170" t="s">
        <v>504</v>
      </c>
      <c r="I90" s="245" t="n">
        <v>1601.9</v>
      </c>
      <c r="J90" s="245"/>
    </row>
    <row r="91" customFormat="false" ht="49.5" hidden="false" customHeight="true" outlineLevel="0" collapsed="false">
      <c r="B91" s="233" t="s">
        <v>215</v>
      </c>
      <c r="C91" s="246" t="s">
        <v>505</v>
      </c>
      <c r="D91" s="247" t="s">
        <v>506</v>
      </c>
      <c r="E91" s="247"/>
      <c r="F91" s="247"/>
      <c r="G91" s="248" t="s">
        <v>507</v>
      </c>
      <c r="H91" s="170"/>
      <c r="I91" s="245"/>
      <c r="J91" s="245"/>
    </row>
    <row r="92" customFormat="false" ht="11.25" hidden="false" customHeight="true" outlineLevel="0" collapsed="false">
      <c r="B92" s="249"/>
      <c r="C92" s="249"/>
      <c r="D92" s="249"/>
      <c r="E92" s="249"/>
      <c r="F92" s="249"/>
      <c r="G92" s="249"/>
      <c r="H92" s="249"/>
    </row>
    <row r="93" customFormat="false" ht="14.25" hidden="false" customHeight="false" outlineLevel="0" collapsed="false">
      <c r="B93" s="249"/>
      <c r="C93" s="249"/>
      <c r="D93" s="249"/>
      <c r="E93" s="249"/>
      <c r="F93" s="249"/>
      <c r="G93" s="249"/>
      <c r="H93" s="249"/>
    </row>
    <row r="94" customFormat="false" ht="14.25" hidden="false" customHeight="false" outlineLevel="0" collapsed="false">
      <c r="B94" s="101" t="s">
        <v>456</v>
      </c>
      <c r="C94" s="101"/>
      <c r="D94" s="101"/>
      <c r="E94" s="101"/>
      <c r="F94" s="101"/>
      <c r="G94" s="101"/>
      <c r="H94" s="101"/>
      <c r="I94" s="101"/>
      <c r="J94" s="101"/>
      <c r="K94" s="1"/>
    </row>
    <row r="95" customFormat="false" ht="14.25" hidden="false" customHeight="false" outlineLevel="0" collapsed="false">
      <c r="B95" s="101"/>
      <c r="C95" s="101"/>
      <c r="D95" s="101"/>
      <c r="E95" s="101"/>
      <c r="F95" s="101"/>
      <c r="G95" s="101"/>
      <c r="H95" s="101"/>
      <c r="I95" s="101"/>
      <c r="J95" s="101"/>
      <c r="K95" s="1"/>
    </row>
    <row r="96" customFormat="false" ht="14.25" hidden="false" customHeight="false" outlineLevel="0" collapsed="false">
      <c r="B96" s="102" t="n">
        <f aca="true">TODAY()</f>
        <v>46066</v>
      </c>
      <c r="C96" s="102"/>
      <c r="D96" s="102"/>
      <c r="E96" s="102"/>
      <c r="F96" s="102"/>
      <c r="G96" s="250"/>
      <c r="H96" s="147"/>
      <c r="I96" s="147"/>
      <c r="J96" s="147"/>
    </row>
    <row r="97" customFormat="false" ht="14.25" hidden="false" customHeight="false" outlineLevel="0" collapsed="false">
      <c r="G97" s="142" t="s">
        <v>457</v>
      </c>
      <c r="H97" s="142"/>
      <c r="I97" s="142"/>
      <c r="J97" s="142"/>
      <c r="K97" s="1"/>
    </row>
    <row r="98" customFormat="false" ht="14.25" hidden="false" customHeight="false" outlineLevel="0" collapsed="false">
      <c r="G98" s="144" t="s">
        <v>508</v>
      </c>
      <c r="H98" s="144"/>
      <c r="I98" s="144"/>
      <c r="J98" s="144"/>
      <c r="K98" s="251"/>
    </row>
    <row r="99" customFormat="false" ht="14.25" hidden="false" customHeight="false" outlineLevel="0" collapsed="false">
      <c r="G99" s="142"/>
      <c r="H99" s="142"/>
      <c r="I99" s="142"/>
      <c r="J99" s="142"/>
      <c r="K99" s="1"/>
    </row>
  </sheetData>
  <mergeCells count="213">
    <mergeCell ref="B2:C5"/>
    <mergeCell ref="D2:J2"/>
    <mergeCell ref="D3:J3"/>
    <mergeCell ref="D4:J4"/>
    <mergeCell ref="D5:J5"/>
    <mergeCell ref="B6:J6"/>
    <mergeCell ref="B7:C7"/>
    <mergeCell ref="D7:J7"/>
    <mergeCell ref="B8:C8"/>
    <mergeCell ref="D8:J8"/>
    <mergeCell ref="B9:J9"/>
    <mergeCell ref="B10:J10"/>
    <mergeCell ref="B11:C11"/>
    <mergeCell ref="D11:G11"/>
    <mergeCell ref="H11:I11"/>
    <mergeCell ref="B12:C12"/>
    <mergeCell ref="D12:G12"/>
    <mergeCell ref="H12:I12"/>
    <mergeCell ref="B13:C13"/>
    <mergeCell ref="D13:G13"/>
    <mergeCell ref="H13:I13"/>
    <mergeCell ref="B14:C14"/>
    <mergeCell ref="D14:G14"/>
    <mergeCell ref="H14:I14"/>
    <mergeCell ref="B15:C15"/>
    <mergeCell ref="D15:G15"/>
    <mergeCell ref="H15:I15"/>
    <mergeCell ref="B16:C16"/>
    <mergeCell ref="D16:G16"/>
    <mergeCell ref="H16:I16"/>
    <mergeCell ref="B17:C17"/>
    <mergeCell ref="D17:G17"/>
    <mergeCell ref="H17:I17"/>
    <mergeCell ref="B18:C18"/>
    <mergeCell ref="D18:G18"/>
    <mergeCell ref="H18:I18"/>
    <mergeCell ref="B19:C19"/>
    <mergeCell ref="D19:G19"/>
    <mergeCell ref="H19:I19"/>
    <mergeCell ref="B20:C20"/>
    <mergeCell ref="D20:G20"/>
    <mergeCell ref="H20:I20"/>
    <mergeCell ref="B21:C21"/>
    <mergeCell ref="D21:G21"/>
    <mergeCell ref="H21:I21"/>
    <mergeCell ref="B22:G22"/>
    <mergeCell ref="H22:I22"/>
    <mergeCell ref="B23:J23"/>
    <mergeCell ref="B24:F24"/>
    <mergeCell ref="G24:H24"/>
    <mergeCell ref="I24:J24"/>
    <mergeCell ref="B25:C25"/>
    <mergeCell ref="D25:H25"/>
    <mergeCell ref="I25:J25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J31"/>
    <mergeCell ref="B32:C32"/>
    <mergeCell ref="D32:H32"/>
    <mergeCell ref="I32:J32"/>
    <mergeCell ref="B34:C34"/>
    <mergeCell ref="D34:F34"/>
    <mergeCell ref="G34:H34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J38"/>
    <mergeCell ref="B39:C39"/>
    <mergeCell ref="D39:H39"/>
    <mergeCell ref="I39:J39"/>
    <mergeCell ref="B41:C41"/>
    <mergeCell ref="D41:F41"/>
    <mergeCell ref="G41:H41"/>
    <mergeCell ref="B42:C42"/>
    <mergeCell ref="D42:F42"/>
    <mergeCell ref="G42:H42"/>
    <mergeCell ref="B43:C43"/>
    <mergeCell ref="D43:F43"/>
    <mergeCell ref="G43:H43"/>
    <mergeCell ref="B44:C44"/>
    <mergeCell ref="D44:F44"/>
    <mergeCell ref="G44:H44"/>
    <mergeCell ref="B45:J45"/>
    <mergeCell ref="B46:C46"/>
    <mergeCell ref="D46:H46"/>
    <mergeCell ref="I46:J46"/>
    <mergeCell ref="B48:C48"/>
    <mergeCell ref="D48:F48"/>
    <mergeCell ref="G48:H48"/>
    <mergeCell ref="B49:C49"/>
    <mergeCell ref="D49:F49"/>
    <mergeCell ref="G49:H49"/>
    <mergeCell ref="B50:C50"/>
    <mergeCell ref="D50:F50"/>
    <mergeCell ref="G50:H50"/>
    <mergeCell ref="B51:C51"/>
    <mergeCell ref="D51:F51"/>
    <mergeCell ref="G51:H51"/>
    <mergeCell ref="B52:J52"/>
    <mergeCell ref="B53:C53"/>
    <mergeCell ref="D53:H53"/>
    <mergeCell ref="I53:J53"/>
    <mergeCell ref="B55:C55"/>
    <mergeCell ref="D55:F55"/>
    <mergeCell ref="G55:H55"/>
    <mergeCell ref="B56:C56"/>
    <mergeCell ref="D56:F56"/>
    <mergeCell ref="G56:H56"/>
    <mergeCell ref="B57:C57"/>
    <mergeCell ref="D57:F57"/>
    <mergeCell ref="G57:H57"/>
    <mergeCell ref="B58:C58"/>
    <mergeCell ref="D58:F58"/>
    <mergeCell ref="G58:H58"/>
    <mergeCell ref="B59:J59"/>
    <mergeCell ref="B60:C60"/>
    <mergeCell ref="D60:H60"/>
    <mergeCell ref="I60:J60"/>
    <mergeCell ref="B62:C62"/>
    <mergeCell ref="D62:F62"/>
    <mergeCell ref="G62:H62"/>
    <mergeCell ref="B63:C63"/>
    <mergeCell ref="D63:F63"/>
    <mergeCell ref="G63:H63"/>
    <mergeCell ref="B64:C64"/>
    <mergeCell ref="D64:F64"/>
    <mergeCell ref="G64:H64"/>
    <mergeCell ref="B65:C65"/>
    <mergeCell ref="D65:F65"/>
    <mergeCell ref="G65:H65"/>
    <mergeCell ref="B66:J66"/>
    <mergeCell ref="B67:C67"/>
    <mergeCell ref="D67:H67"/>
    <mergeCell ref="I67:J67"/>
    <mergeCell ref="B69:C69"/>
    <mergeCell ref="D69:F69"/>
    <mergeCell ref="G69:H69"/>
    <mergeCell ref="B70:C70"/>
    <mergeCell ref="D70:F70"/>
    <mergeCell ref="G70:H70"/>
    <mergeCell ref="B71:C71"/>
    <mergeCell ref="D71:F71"/>
    <mergeCell ref="G71:H71"/>
    <mergeCell ref="B72:C72"/>
    <mergeCell ref="D72:F72"/>
    <mergeCell ref="G72:H72"/>
    <mergeCell ref="B73:J73"/>
    <mergeCell ref="B74:C74"/>
    <mergeCell ref="D74:H74"/>
    <mergeCell ref="I74:J74"/>
    <mergeCell ref="B76:C76"/>
    <mergeCell ref="D76:F76"/>
    <mergeCell ref="G76:H76"/>
    <mergeCell ref="B77:C77"/>
    <mergeCell ref="D77:F77"/>
    <mergeCell ref="G77:H77"/>
    <mergeCell ref="B78:C78"/>
    <mergeCell ref="D78:F78"/>
    <mergeCell ref="G78:H78"/>
    <mergeCell ref="B79:C79"/>
    <mergeCell ref="D79:F79"/>
    <mergeCell ref="G79:H79"/>
    <mergeCell ref="B80:J80"/>
    <mergeCell ref="B81:C81"/>
    <mergeCell ref="D81:H81"/>
    <mergeCell ref="I81:J81"/>
    <mergeCell ref="B83:C83"/>
    <mergeCell ref="D83:F83"/>
    <mergeCell ref="G83:H83"/>
    <mergeCell ref="B84:C84"/>
    <mergeCell ref="D84:F84"/>
    <mergeCell ref="G84:H84"/>
    <mergeCell ref="B85:C85"/>
    <mergeCell ref="D85:F85"/>
    <mergeCell ref="G85:H85"/>
    <mergeCell ref="B86:C86"/>
    <mergeCell ref="D86:F86"/>
    <mergeCell ref="G86:H86"/>
    <mergeCell ref="B87:J87"/>
    <mergeCell ref="B88:C88"/>
    <mergeCell ref="D88:H88"/>
    <mergeCell ref="I88:J88"/>
    <mergeCell ref="D90:F90"/>
    <mergeCell ref="H90:H91"/>
    <mergeCell ref="I90:J91"/>
    <mergeCell ref="D91:F91"/>
    <mergeCell ref="B92:C92"/>
    <mergeCell ref="D92:F92"/>
    <mergeCell ref="G92:H92"/>
    <mergeCell ref="B93:C93"/>
    <mergeCell ref="D93:F93"/>
    <mergeCell ref="G93:H93"/>
    <mergeCell ref="B94:J95"/>
    <mergeCell ref="B96:F96"/>
    <mergeCell ref="G97:J97"/>
    <mergeCell ref="G98:J98"/>
    <mergeCell ref="G99:J99"/>
  </mergeCells>
  <printOptions headings="false" gridLines="false" gridLinesSet="true" horizontalCentered="true" verticalCentered="false"/>
  <pageMargins left="0.236111111111111" right="0.236111111111111" top="0.354166666666667" bottom="0.354166666666667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69"/>
  <sheetViews>
    <sheetView showFormulas="false" showGridLines="true" showRowColHeaders="true" showZeros="true" rightToLeft="false" tabSelected="false" showOutlineSymbols="true" defaultGridColor="true" view="pageBreakPreview" topLeftCell="A4" colorId="64" zoomScale="110" zoomScaleNormal="100" zoomScalePageLayoutView="110" workbookViewId="0">
      <selection pane="topLeft" activeCell="I42" activeCellId="0" sqref="I42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04" width="2.11"/>
    <col collapsed="false" customWidth="true" hidden="false" outlineLevel="0" max="2" min="2" style="104" width="11.67"/>
    <col collapsed="false" customWidth="true" hidden="false" outlineLevel="0" max="3" min="3" style="104" width="11.56"/>
    <col collapsed="false" customWidth="true" hidden="false" outlineLevel="0" max="4" min="4" style="104" width="17.56"/>
    <col collapsed="false" customWidth="true" hidden="false" outlineLevel="0" max="5" min="5" style="104" width="31.67"/>
    <col collapsed="false" customWidth="true" hidden="false" outlineLevel="0" max="6" min="6" style="104" width="28"/>
    <col collapsed="false" customWidth="true" hidden="false" outlineLevel="0" max="7" min="7" style="104" width="18.11"/>
    <col collapsed="false" customWidth="true" hidden="false" outlineLevel="0" max="8" min="8" style="104" width="15.56"/>
    <col collapsed="false" customWidth="true" hidden="false" outlineLevel="0" max="9" min="9" style="104" width="16.89"/>
    <col collapsed="false" customWidth="true" hidden="false" outlineLevel="0" max="10" min="10" style="104" width="18.11"/>
  </cols>
  <sheetData>
    <row r="1" customFormat="false" ht="8.25" hidden="false" customHeight="true" outlineLevel="0" collapsed="false"/>
    <row r="2" customFormat="false" ht="28.5" hidden="false" customHeight="true" outlineLevel="0" collapsed="false">
      <c r="B2" s="189"/>
      <c r="C2" s="189"/>
      <c r="D2" s="190" t="str">
        <f aca="false">'ORÇ.'!E2</f>
        <v>PREFEITURA MUNICIPAL DE ESPÍRITO SANTO DO PINHAL - SP</v>
      </c>
      <c r="E2" s="190"/>
      <c r="F2" s="190"/>
      <c r="G2" s="190"/>
      <c r="H2" s="190"/>
      <c r="I2" s="190"/>
      <c r="J2" s="190"/>
    </row>
    <row r="3" customFormat="false" ht="15" hidden="false" customHeight="true" outlineLevel="0" collapsed="false">
      <c r="B3" s="189"/>
      <c r="C3" s="189"/>
      <c r="D3" s="191" t="s">
        <v>509</v>
      </c>
      <c r="E3" s="191"/>
      <c r="F3" s="191"/>
      <c r="G3" s="191"/>
      <c r="H3" s="191"/>
      <c r="I3" s="191"/>
      <c r="J3" s="191"/>
    </row>
    <row r="4" customFormat="false" ht="19.5" hidden="false" customHeight="true" outlineLevel="0" collapsed="false">
      <c r="B4" s="189"/>
      <c r="C4" s="189"/>
      <c r="D4" s="192" t="s">
        <v>387</v>
      </c>
      <c r="E4" s="192"/>
      <c r="F4" s="192"/>
      <c r="G4" s="192"/>
      <c r="H4" s="192"/>
      <c r="I4" s="192"/>
      <c r="J4" s="192"/>
    </row>
    <row r="5" customFormat="false" ht="15" hidden="false" customHeight="true" outlineLevel="0" collapsed="false">
      <c r="B5" s="189"/>
      <c r="C5" s="189"/>
      <c r="D5" s="193" t="s">
        <v>388</v>
      </c>
      <c r="E5" s="193"/>
      <c r="F5" s="193"/>
      <c r="G5" s="193"/>
      <c r="H5" s="193"/>
      <c r="I5" s="193"/>
      <c r="J5" s="193"/>
    </row>
    <row r="6" customFormat="false" ht="12" hidden="false" customHeight="true" outlineLevel="0" collapsed="false">
      <c r="B6" s="194"/>
      <c r="C6" s="194"/>
      <c r="D6" s="194"/>
      <c r="E6" s="194"/>
      <c r="F6" s="194"/>
      <c r="G6" s="194"/>
      <c r="H6" s="194"/>
      <c r="I6" s="194"/>
      <c r="J6" s="194"/>
    </row>
    <row r="7" customFormat="false" ht="33" hidden="false" customHeight="true" outlineLevel="0" collapsed="false">
      <c r="B7" s="156" t="s">
        <v>4</v>
      </c>
      <c r="C7" s="156"/>
      <c r="D7" s="195" t="str">
        <f aca="false">'ORÇ.'!D7</f>
        <v>Projeto de Ampliação em Unidade Básica de Saúde do Município – UBS Iracema Pinto Ricci Nina</v>
      </c>
      <c r="E7" s="195"/>
      <c r="F7" s="195"/>
      <c r="G7" s="195"/>
      <c r="H7" s="195"/>
      <c r="I7" s="195"/>
      <c r="J7" s="195"/>
    </row>
    <row r="8" customFormat="false" ht="33.75" hidden="false" customHeight="true" outlineLevel="0" collapsed="false">
      <c r="B8" s="158" t="s">
        <v>9</v>
      </c>
      <c r="C8" s="158"/>
      <c r="D8" s="159" t="str">
        <f aca="false">'ORÇ.'!D8</f>
        <v>Jardim Diva Sarcinelli, Rua Amadeu Pinto – Espírito Santo do Pinhal – SP</v>
      </c>
      <c r="E8" s="159"/>
      <c r="F8" s="159"/>
      <c r="G8" s="159"/>
      <c r="H8" s="159"/>
      <c r="I8" s="159"/>
      <c r="J8" s="159"/>
    </row>
    <row r="9" customFormat="false" ht="10.5" hidden="false" customHeight="true" outlineLevel="0" collapsed="false">
      <c r="B9" s="194"/>
      <c r="C9" s="194"/>
      <c r="D9" s="194"/>
      <c r="E9" s="194"/>
      <c r="F9" s="194"/>
      <c r="G9" s="194"/>
      <c r="H9" s="194"/>
      <c r="I9" s="194"/>
      <c r="J9" s="194"/>
    </row>
    <row r="10" customFormat="false" ht="24" hidden="false" customHeight="true" outlineLevel="0" collapsed="false">
      <c r="B10" s="197" t="s">
        <v>510</v>
      </c>
      <c r="C10" s="197"/>
      <c r="D10" s="197"/>
      <c r="E10" s="197"/>
      <c r="F10" s="197"/>
      <c r="G10" s="197"/>
      <c r="H10" s="197"/>
      <c r="I10" s="197"/>
      <c r="J10" s="197"/>
    </row>
    <row r="11" customFormat="false" ht="20.25" hidden="false" customHeight="true" outlineLevel="0" collapsed="false">
      <c r="B11" s="198" t="s">
        <v>15</v>
      </c>
      <c r="C11" s="198"/>
      <c r="D11" s="199" t="s">
        <v>16</v>
      </c>
      <c r="E11" s="199"/>
      <c r="F11" s="199"/>
      <c r="G11" s="199"/>
      <c r="H11" s="200" t="s">
        <v>17</v>
      </c>
      <c r="I11" s="200"/>
      <c r="J11" s="201"/>
    </row>
    <row r="12" customFormat="false" ht="33.75" hidden="false" customHeight="true" outlineLevel="0" collapsed="false">
      <c r="B12" s="202" t="s">
        <v>511</v>
      </c>
      <c r="C12" s="202"/>
      <c r="D12" s="252" t="s">
        <v>512</v>
      </c>
      <c r="E12" s="252"/>
      <c r="F12" s="252"/>
      <c r="G12" s="252"/>
      <c r="H12" s="253" t="n">
        <f aca="false">I21</f>
        <v>1339.4</v>
      </c>
      <c r="I12" s="253"/>
      <c r="J12" s="254" t="n">
        <f aca="false">H12/H18</f>
        <v>0.0411024145904059</v>
      </c>
    </row>
    <row r="13" customFormat="false" ht="33.75" hidden="false" customHeight="true" outlineLevel="0" collapsed="false">
      <c r="B13" s="206" t="s">
        <v>513</v>
      </c>
      <c r="C13" s="206"/>
      <c r="D13" s="255" t="s">
        <v>514</v>
      </c>
      <c r="E13" s="255"/>
      <c r="F13" s="255"/>
      <c r="G13" s="255"/>
      <c r="H13" s="256" t="n">
        <f aca="false">I28</f>
        <v>10516.5966666667</v>
      </c>
      <c r="I13" s="256"/>
      <c r="J13" s="257" t="n">
        <f aca="false">H13/H18</f>
        <v>0.3227247396397</v>
      </c>
    </row>
    <row r="14" customFormat="false" ht="33.75" hidden="false" customHeight="true" outlineLevel="0" collapsed="false">
      <c r="B14" s="206" t="s">
        <v>515</v>
      </c>
      <c r="C14" s="206"/>
      <c r="D14" s="255" t="s">
        <v>516</v>
      </c>
      <c r="E14" s="255"/>
      <c r="F14" s="255"/>
      <c r="G14" s="255"/>
      <c r="H14" s="256" t="n">
        <f aca="false">I35</f>
        <v>6747.33333333333</v>
      </c>
      <c r="I14" s="256"/>
      <c r="J14" s="257" t="n">
        <f aca="false">H14/H18</f>
        <v>0.20705666122617</v>
      </c>
    </row>
    <row r="15" customFormat="false" ht="33.75" hidden="false" customHeight="true" outlineLevel="0" collapsed="false">
      <c r="B15" s="206" t="s">
        <v>517</v>
      </c>
      <c r="C15" s="206"/>
      <c r="D15" s="255" t="s">
        <v>518</v>
      </c>
      <c r="E15" s="255"/>
      <c r="F15" s="255"/>
      <c r="G15" s="255"/>
      <c r="H15" s="256" t="n">
        <f aca="false">I42</f>
        <v>1273.33333333333</v>
      </c>
      <c r="I15" s="256"/>
      <c r="J15" s="257" t="n">
        <f aca="false">H15/H18</f>
        <v>0.0390750146173288</v>
      </c>
    </row>
    <row r="16" customFormat="false" ht="33.75" hidden="false" customHeight="true" outlineLevel="0" collapsed="false">
      <c r="B16" s="206" t="s">
        <v>519</v>
      </c>
      <c r="C16" s="206"/>
      <c r="D16" s="255" t="s">
        <v>520</v>
      </c>
      <c r="E16" s="255"/>
      <c r="F16" s="255"/>
      <c r="G16" s="255"/>
      <c r="H16" s="256" t="n">
        <f aca="false">I49</f>
        <v>826.896666666667</v>
      </c>
      <c r="I16" s="256"/>
      <c r="J16" s="257" t="n">
        <f aca="false">H16/H18</f>
        <v>0.0253751303693878</v>
      </c>
    </row>
    <row r="17" customFormat="false" ht="33.75" hidden="false" customHeight="true" outlineLevel="0" collapsed="false">
      <c r="B17" s="206" t="s">
        <v>521</v>
      </c>
      <c r="C17" s="206"/>
      <c r="D17" s="255" t="s">
        <v>522</v>
      </c>
      <c r="E17" s="255"/>
      <c r="F17" s="255"/>
      <c r="G17" s="255"/>
      <c r="H17" s="256" t="n">
        <f aca="false">I56</f>
        <v>11883.3333333333</v>
      </c>
      <c r="I17" s="256"/>
      <c r="J17" s="257" t="n">
        <f aca="false">H17/H18</f>
        <v>0.364666039557008</v>
      </c>
    </row>
    <row r="18" customFormat="false" ht="33.75" hidden="false" customHeight="true" outlineLevel="0" collapsed="false">
      <c r="B18" s="210" t="s">
        <v>474</v>
      </c>
      <c r="C18" s="210"/>
      <c r="D18" s="210"/>
      <c r="E18" s="210"/>
      <c r="F18" s="210"/>
      <c r="G18" s="210"/>
      <c r="H18" s="211" t="n">
        <f aca="false">SUM(H12:I17)</f>
        <v>32586.8933333333</v>
      </c>
      <c r="I18" s="211"/>
      <c r="J18" s="212" t="n">
        <f aca="false">SUM(J11:J17)</f>
        <v>1</v>
      </c>
    </row>
    <row r="19" customFormat="false" ht="14.25" hidden="false" customHeight="false" outlineLevel="0" collapsed="false">
      <c r="B19" s="194"/>
      <c r="C19" s="194"/>
      <c r="D19" s="194"/>
      <c r="E19" s="194"/>
      <c r="F19" s="194"/>
      <c r="G19" s="194"/>
      <c r="H19" s="194"/>
      <c r="I19" s="194"/>
      <c r="J19" s="194"/>
    </row>
    <row r="20" customFormat="false" ht="27.75" hidden="false" customHeight="true" outlineLevel="0" collapsed="false">
      <c r="B20" s="258"/>
      <c r="C20" s="258"/>
      <c r="D20" s="214" t="s">
        <v>475</v>
      </c>
      <c r="E20" s="214"/>
      <c r="F20" s="214"/>
      <c r="G20" s="214"/>
      <c r="H20" s="214"/>
      <c r="I20" s="215" t="s">
        <v>477</v>
      </c>
      <c r="J20" s="215"/>
    </row>
    <row r="21" customFormat="false" ht="25.5" hidden="false" customHeight="true" outlineLevel="0" collapsed="false">
      <c r="B21" s="259" t="s">
        <v>511</v>
      </c>
      <c r="C21" s="259"/>
      <c r="D21" s="260" t="str">
        <f aca="false">D12</f>
        <v>BALANÇO - (1)</v>
      </c>
      <c r="E21" s="260"/>
      <c r="F21" s="260"/>
      <c r="G21" s="260"/>
      <c r="H21" s="260"/>
      <c r="I21" s="261" t="n">
        <f aca="false">SUM(I24:J26)/3</f>
        <v>1339.4</v>
      </c>
      <c r="J21" s="261"/>
    </row>
    <row r="22" customFormat="false" ht="4.5" hidden="false" customHeight="true" outlineLevel="0" collapsed="false">
      <c r="B22" s="262"/>
      <c r="C22" s="262"/>
      <c r="D22" s="262"/>
      <c r="E22" s="262"/>
      <c r="F22" s="262"/>
      <c r="G22" s="262"/>
      <c r="H22" s="262"/>
      <c r="I22" s="262"/>
      <c r="J22" s="262"/>
    </row>
    <row r="23" customFormat="false" ht="25.5" hidden="false" customHeight="true" outlineLevel="0" collapsed="false">
      <c r="B23" s="263" t="s">
        <v>480</v>
      </c>
      <c r="C23" s="263"/>
      <c r="D23" s="263"/>
      <c r="E23" s="263"/>
      <c r="F23" s="263"/>
      <c r="G23" s="264" t="s">
        <v>523</v>
      </c>
      <c r="H23" s="264"/>
      <c r="I23" s="265" t="s">
        <v>524</v>
      </c>
      <c r="J23" s="265"/>
    </row>
    <row r="24" customFormat="false" ht="21" hidden="false" customHeight="true" outlineLevel="0" collapsed="false">
      <c r="B24" s="228" t="s">
        <v>525</v>
      </c>
      <c r="C24" s="228"/>
      <c r="D24" s="228"/>
      <c r="E24" s="228"/>
      <c r="F24" s="228"/>
      <c r="G24" s="266" t="n">
        <v>44526</v>
      </c>
      <c r="H24" s="266"/>
      <c r="I24" s="232" t="n">
        <v>1349.1</v>
      </c>
      <c r="J24" s="232"/>
    </row>
    <row r="25" customFormat="false" ht="21" hidden="false" customHeight="true" outlineLevel="0" collapsed="false">
      <c r="B25" s="228" t="s">
        <v>526</v>
      </c>
      <c r="C25" s="228"/>
      <c r="D25" s="228"/>
      <c r="E25" s="228"/>
      <c r="F25" s="228"/>
      <c r="G25" s="266" t="n">
        <v>44526</v>
      </c>
      <c r="H25" s="266"/>
      <c r="I25" s="232" t="n">
        <v>1349.1</v>
      </c>
      <c r="J25" s="232"/>
    </row>
    <row r="26" customFormat="false" ht="21" hidden="false" customHeight="true" outlineLevel="0" collapsed="false">
      <c r="B26" s="233" t="s">
        <v>527</v>
      </c>
      <c r="C26" s="233"/>
      <c r="D26" s="233"/>
      <c r="E26" s="233"/>
      <c r="F26" s="233"/>
      <c r="G26" s="267" t="n">
        <v>44526</v>
      </c>
      <c r="H26" s="267"/>
      <c r="I26" s="236" t="n">
        <v>1320</v>
      </c>
      <c r="J26" s="236"/>
    </row>
    <row r="27" customFormat="false" ht="11.25" hidden="false" customHeight="true" outlineLevel="0" collapsed="false">
      <c r="B27" s="194"/>
      <c r="C27" s="194"/>
      <c r="D27" s="194"/>
      <c r="E27" s="194"/>
      <c r="F27" s="194"/>
      <c r="G27" s="194"/>
      <c r="H27" s="194"/>
      <c r="I27" s="194"/>
      <c r="J27" s="194"/>
    </row>
    <row r="28" customFormat="false" ht="27" hidden="false" customHeight="true" outlineLevel="0" collapsed="false">
      <c r="B28" s="268" t="s">
        <v>513</v>
      </c>
      <c r="C28" s="268"/>
      <c r="D28" s="269" t="str">
        <f aca="false">D13</f>
        <v>BALANÇO ADAPTADO FRONTAL - (2)</v>
      </c>
      <c r="E28" s="269"/>
      <c r="F28" s="269"/>
      <c r="G28" s="269"/>
      <c r="H28" s="269"/>
      <c r="I28" s="270" t="n">
        <f aca="false">SUM(I31:J33)/3</f>
        <v>10516.5966666667</v>
      </c>
      <c r="J28" s="270"/>
    </row>
    <row r="29" customFormat="false" ht="4.5" hidden="false" customHeight="true" outlineLevel="0" collapsed="false">
      <c r="B29" s="262"/>
      <c r="C29" s="262"/>
      <c r="D29" s="262"/>
      <c r="E29" s="262"/>
      <c r="F29" s="262"/>
      <c r="G29" s="262"/>
      <c r="H29" s="262"/>
      <c r="I29" s="262"/>
      <c r="J29" s="262"/>
    </row>
    <row r="30" customFormat="false" ht="25.5" hidden="false" customHeight="true" outlineLevel="0" collapsed="false">
      <c r="B30" s="263" t="s">
        <v>480</v>
      </c>
      <c r="C30" s="263"/>
      <c r="D30" s="263"/>
      <c r="E30" s="263"/>
      <c r="F30" s="263"/>
      <c r="G30" s="264" t="s">
        <v>523</v>
      </c>
      <c r="H30" s="264"/>
      <c r="I30" s="265" t="s">
        <v>524</v>
      </c>
      <c r="J30" s="265"/>
    </row>
    <row r="31" customFormat="false" ht="21" hidden="false" customHeight="true" outlineLevel="0" collapsed="false">
      <c r="B31" s="228" t="s">
        <v>525</v>
      </c>
      <c r="C31" s="228"/>
      <c r="D31" s="228"/>
      <c r="E31" s="228"/>
      <c r="F31" s="228"/>
      <c r="G31" s="266" t="n">
        <v>44526</v>
      </c>
      <c r="H31" s="266"/>
      <c r="I31" s="232" t="n">
        <v>10098</v>
      </c>
      <c r="J31" s="232"/>
    </row>
    <row r="32" customFormat="false" ht="20.25" hidden="false" customHeight="true" outlineLevel="0" collapsed="false">
      <c r="B32" s="228" t="s">
        <v>528</v>
      </c>
      <c r="C32" s="228"/>
      <c r="D32" s="228"/>
      <c r="E32" s="228"/>
      <c r="F32" s="228"/>
      <c r="G32" s="266" t="n">
        <v>44526</v>
      </c>
      <c r="H32" s="266"/>
      <c r="I32" s="232" t="n">
        <v>10759.5</v>
      </c>
      <c r="J32" s="232"/>
    </row>
    <row r="33" customFormat="false" ht="21" hidden="false" customHeight="true" outlineLevel="0" collapsed="false">
      <c r="B33" s="233" t="s">
        <v>529</v>
      </c>
      <c r="C33" s="233"/>
      <c r="D33" s="233"/>
      <c r="E33" s="233"/>
      <c r="F33" s="233"/>
      <c r="G33" s="267" t="n">
        <v>44526</v>
      </c>
      <c r="H33" s="267"/>
      <c r="I33" s="236" t="n">
        <v>10692.29</v>
      </c>
      <c r="J33" s="236"/>
    </row>
    <row r="34" customFormat="false" ht="11.25" hidden="false" customHeight="true" outlineLevel="0" collapsed="false">
      <c r="B34" s="194"/>
      <c r="C34" s="194"/>
      <c r="D34" s="194"/>
      <c r="E34" s="194"/>
      <c r="F34" s="194"/>
      <c r="G34" s="194"/>
      <c r="H34" s="194"/>
      <c r="I34" s="194"/>
      <c r="J34" s="194"/>
    </row>
    <row r="35" customFormat="false" ht="25.5" hidden="false" customHeight="true" outlineLevel="0" collapsed="false">
      <c r="B35" s="268" t="s">
        <v>515</v>
      </c>
      <c r="C35" s="268"/>
      <c r="D35" s="269" t="str">
        <f aca="false">D14</f>
        <v>CASA DO TARZAN - (3)</v>
      </c>
      <c r="E35" s="269"/>
      <c r="F35" s="269"/>
      <c r="G35" s="269"/>
      <c r="H35" s="269"/>
      <c r="I35" s="270" t="n">
        <f aca="false">SUM(I38:J40)/3</f>
        <v>6747.33333333333</v>
      </c>
      <c r="J35" s="270"/>
    </row>
    <row r="36" customFormat="false" ht="4.5" hidden="false" customHeight="true" outlineLevel="0" collapsed="false">
      <c r="B36" s="219"/>
      <c r="C36" s="220"/>
      <c r="D36" s="221"/>
      <c r="E36" s="221"/>
      <c r="F36" s="221"/>
      <c r="G36" s="221"/>
      <c r="H36" s="220"/>
      <c r="I36" s="222"/>
      <c r="J36" s="223"/>
    </row>
    <row r="37" customFormat="false" ht="25.5" hidden="false" customHeight="true" outlineLevel="0" collapsed="false">
      <c r="B37" s="263" t="s">
        <v>480</v>
      </c>
      <c r="C37" s="263"/>
      <c r="D37" s="263"/>
      <c r="E37" s="263"/>
      <c r="F37" s="263"/>
      <c r="G37" s="264" t="s">
        <v>523</v>
      </c>
      <c r="H37" s="264"/>
      <c r="I37" s="265" t="s">
        <v>524</v>
      </c>
      <c r="J37" s="265"/>
    </row>
    <row r="38" customFormat="false" ht="21.75" hidden="false" customHeight="true" outlineLevel="0" collapsed="false">
      <c r="B38" s="228" t="s">
        <v>530</v>
      </c>
      <c r="C38" s="228"/>
      <c r="D38" s="228"/>
      <c r="E38" s="228"/>
      <c r="F38" s="228"/>
      <c r="G38" s="266" t="n">
        <v>44526</v>
      </c>
      <c r="H38" s="266"/>
      <c r="I38" s="232" t="n">
        <v>6980</v>
      </c>
      <c r="J38" s="232"/>
    </row>
    <row r="39" customFormat="false" ht="21" hidden="false" customHeight="true" outlineLevel="0" collapsed="false">
      <c r="B39" s="228" t="s">
        <v>526</v>
      </c>
      <c r="C39" s="228"/>
      <c r="D39" s="228"/>
      <c r="E39" s="228"/>
      <c r="F39" s="228"/>
      <c r="G39" s="266" t="n">
        <v>44526</v>
      </c>
      <c r="H39" s="266"/>
      <c r="I39" s="232" t="n">
        <v>6282</v>
      </c>
      <c r="J39" s="232"/>
    </row>
    <row r="40" customFormat="false" ht="21.75" hidden="false" customHeight="true" outlineLevel="0" collapsed="false">
      <c r="B40" s="233" t="s">
        <v>527</v>
      </c>
      <c r="C40" s="233"/>
      <c r="D40" s="233"/>
      <c r="E40" s="233"/>
      <c r="F40" s="233"/>
      <c r="G40" s="271" t="n">
        <v>44526</v>
      </c>
      <c r="H40" s="271"/>
      <c r="I40" s="236" t="n">
        <v>6980</v>
      </c>
      <c r="J40" s="236"/>
    </row>
    <row r="41" customFormat="false" ht="11.25" hidden="false" customHeight="true" outlineLevel="0" collapsed="false">
      <c r="B41" s="194"/>
      <c r="C41" s="194"/>
      <c r="D41" s="194"/>
      <c r="E41" s="194"/>
      <c r="F41" s="194"/>
      <c r="G41" s="194"/>
      <c r="H41" s="194"/>
      <c r="I41" s="194"/>
      <c r="J41" s="194"/>
    </row>
    <row r="42" customFormat="false" ht="25.5" hidden="false" customHeight="true" outlineLevel="0" collapsed="false">
      <c r="B42" s="268" t="s">
        <v>517</v>
      </c>
      <c r="C42" s="268"/>
      <c r="D42" s="269" t="str">
        <f aca="false">D15</f>
        <v>GIRA GIRA - (4)</v>
      </c>
      <c r="E42" s="269"/>
      <c r="F42" s="269"/>
      <c r="G42" s="269"/>
      <c r="H42" s="269"/>
      <c r="I42" s="270" t="n">
        <f aca="false">SUM(I45:J47)/3</f>
        <v>1273.33333333333</v>
      </c>
      <c r="J42" s="270"/>
    </row>
    <row r="43" customFormat="false" ht="4.5" hidden="false" customHeight="true" outlineLevel="0" collapsed="false">
      <c r="B43" s="219"/>
      <c r="C43" s="220"/>
      <c r="D43" s="221"/>
      <c r="E43" s="221"/>
      <c r="F43" s="221"/>
      <c r="G43" s="221"/>
      <c r="H43" s="220"/>
      <c r="I43" s="222"/>
      <c r="J43" s="223"/>
    </row>
    <row r="44" customFormat="false" ht="25.5" hidden="false" customHeight="true" outlineLevel="0" collapsed="false">
      <c r="B44" s="263" t="s">
        <v>480</v>
      </c>
      <c r="C44" s="263"/>
      <c r="D44" s="263"/>
      <c r="E44" s="263"/>
      <c r="F44" s="263"/>
      <c r="G44" s="264" t="s">
        <v>523</v>
      </c>
      <c r="H44" s="264"/>
      <c r="I44" s="265" t="s">
        <v>524</v>
      </c>
      <c r="J44" s="265"/>
    </row>
    <row r="45" customFormat="false" ht="21" hidden="false" customHeight="true" outlineLevel="0" collapsed="false">
      <c r="B45" s="228" t="s">
        <v>525</v>
      </c>
      <c r="C45" s="228"/>
      <c r="D45" s="228"/>
      <c r="E45" s="228"/>
      <c r="F45" s="228"/>
      <c r="G45" s="266" t="n">
        <v>44526</v>
      </c>
      <c r="H45" s="266"/>
      <c r="I45" s="232" t="n">
        <v>1350</v>
      </c>
      <c r="J45" s="232"/>
    </row>
    <row r="46" customFormat="false" ht="21" hidden="false" customHeight="true" outlineLevel="0" collapsed="false">
      <c r="B46" s="228" t="s">
        <v>531</v>
      </c>
      <c r="C46" s="228"/>
      <c r="D46" s="228"/>
      <c r="E46" s="228"/>
      <c r="F46" s="228"/>
      <c r="G46" s="266" t="n">
        <v>44526</v>
      </c>
      <c r="H46" s="266"/>
      <c r="I46" s="232" t="n">
        <v>1150</v>
      </c>
      <c r="J46" s="232"/>
    </row>
    <row r="47" customFormat="false" ht="21" hidden="false" customHeight="true" outlineLevel="0" collapsed="false">
      <c r="B47" s="233" t="s">
        <v>527</v>
      </c>
      <c r="C47" s="233"/>
      <c r="D47" s="233"/>
      <c r="E47" s="233"/>
      <c r="F47" s="233"/>
      <c r="G47" s="271" t="n">
        <v>44526</v>
      </c>
      <c r="H47" s="271"/>
      <c r="I47" s="236" t="n">
        <v>1320</v>
      </c>
      <c r="J47" s="236"/>
    </row>
    <row r="48" customFormat="false" ht="11.25" hidden="false" customHeight="true" outlineLevel="0" collapsed="false">
      <c r="B48" s="194"/>
      <c r="C48" s="194"/>
      <c r="D48" s="194"/>
      <c r="E48" s="194"/>
      <c r="F48" s="194"/>
      <c r="G48" s="194"/>
      <c r="H48" s="194"/>
      <c r="I48" s="194"/>
      <c r="J48" s="194"/>
    </row>
    <row r="49" customFormat="false" ht="25.5" hidden="false" customHeight="true" outlineLevel="0" collapsed="false">
      <c r="B49" s="268" t="s">
        <v>519</v>
      </c>
      <c r="C49" s="268"/>
      <c r="D49" s="269" t="str">
        <f aca="false">D16</f>
        <v>GANGORRA - (5)</v>
      </c>
      <c r="E49" s="269"/>
      <c r="F49" s="269"/>
      <c r="G49" s="269"/>
      <c r="H49" s="269"/>
      <c r="I49" s="270" t="n">
        <f aca="false">SUM(I52:J54)/3</f>
        <v>826.896666666667</v>
      </c>
      <c r="J49" s="270"/>
    </row>
    <row r="50" customFormat="false" ht="4.5" hidden="false" customHeight="true" outlineLevel="0" collapsed="false">
      <c r="B50" s="219"/>
      <c r="C50" s="220"/>
      <c r="D50" s="221"/>
      <c r="E50" s="221"/>
      <c r="F50" s="221"/>
      <c r="G50" s="221"/>
      <c r="H50" s="220"/>
      <c r="I50" s="222"/>
      <c r="J50" s="223"/>
    </row>
    <row r="51" customFormat="false" ht="25.5" hidden="false" customHeight="true" outlineLevel="0" collapsed="false">
      <c r="B51" s="263" t="s">
        <v>480</v>
      </c>
      <c r="C51" s="263"/>
      <c r="D51" s="263"/>
      <c r="E51" s="263"/>
      <c r="F51" s="263"/>
      <c r="G51" s="264" t="s">
        <v>523</v>
      </c>
      <c r="H51" s="264"/>
      <c r="I51" s="265" t="s">
        <v>524</v>
      </c>
      <c r="J51" s="265"/>
    </row>
    <row r="52" customFormat="false" ht="21" hidden="false" customHeight="true" outlineLevel="0" collapsed="false">
      <c r="B52" s="228" t="s">
        <v>532</v>
      </c>
      <c r="C52" s="228"/>
      <c r="D52" s="228"/>
      <c r="E52" s="228"/>
      <c r="F52" s="228"/>
      <c r="G52" s="266" t="n">
        <v>44526</v>
      </c>
      <c r="H52" s="266"/>
      <c r="I52" s="232" t="n">
        <v>699</v>
      </c>
      <c r="J52" s="232"/>
    </row>
    <row r="53" customFormat="false" ht="21" hidden="false" customHeight="true" outlineLevel="0" collapsed="false">
      <c r="B53" s="228" t="s">
        <v>530</v>
      </c>
      <c r="C53" s="228"/>
      <c r="D53" s="228"/>
      <c r="E53" s="228"/>
      <c r="F53" s="228"/>
      <c r="G53" s="266" t="n">
        <v>44526</v>
      </c>
      <c r="H53" s="266"/>
      <c r="I53" s="232" t="n">
        <v>799</v>
      </c>
      <c r="J53" s="232"/>
    </row>
    <row r="54" customFormat="false" ht="21" hidden="false" customHeight="true" outlineLevel="0" collapsed="false">
      <c r="B54" s="233" t="s">
        <v>533</v>
      </c>
      <c r="C54" s="233"/>
      <c r="D54" s="233"/>
      <c r="E54" s="233"/>
      <c r="F54" s="233"/>
      <c r="G54" s="271" t="n">
        <v>44526</v>
      </c>
      <c r="H54" s="271"/>
      <c r="I54" s="236" t="n">
        <v>982.69</v>
      </c>
      <c r="J54" s="236"/>
    </row>
    <row r="55" customFormat="false" ht="11.25" hidden="false" customHeight="true" outlineLevel="0" collapsed="false">
      <c r="B55" s="194"/>
      <c r="C55" s="194"/>
      <c r="D55" s="194"/>
      <c r="E55" s="194"/>
      <c r="F55" s="194"/>
      <c r="G55" s="194"/>
      <c r="H55" s="194"/>
      <c r="I55" s="194"/>
      <c r="J55" s="194"/>
    </row>
    <row r="56" customFormat="false" ht="25.5" hidden="false" customHeight="true" outlineLevel="0" collapsed="false">
      <c r="B56" s="268" t="s">
        <v>521</v>
      </c>
      <c r="C56" s="268"/>
      <c r="D56" s="269" t="str">
        <f aca="false">D17</f>
        <v>GANGORRA ADAPTADA - (6)</v>
      </c>
      <c r="E56" s="269"/>
      <c r="F56" s="269"/>
      <c r="G56" s="269"/>
      <c r="H56" s="269"/>
      <c r="I56" s="270" t="n">
        <f aca="false">SUM(I59:J61)/3</f>
        <v>11883.3333333333</v>
      </c>
      <c r="J56" s="270"/>
    </row>
    <row r="57" customFormat="false" ht="4.5" hidden="false" customHeight="true" outlineLevel="0" collapsed="false">
      <c r="B57" s="219"/>
      <c r="C57" s="220"/>
      <c r="D57" s="221"/>
      <c r="E57" s="221"/>
      <c r="F57" s="221"/>
      <c r="G57" s="221"/>
      <c r="H57" s="220"/>
      <c r="I57" s="222"/>
      <c r="J57" s="223"/>
    </row>
    <row r="58" customFormat="false" ht="25.5" hidden="false" customHeight="true" outlineLevel="0" collapsed="false">
      <c r="B58" s="263" t="s">
        <v>480</v>
      </c>
      <c r="C58" s="263"/>
      <c r="D58" s="263"/>
      <c r="E58" s="263"/>
      <c r="F58" s="263"/>
      <c r="G58" s="264" t="s">
        <v>523</v>
      </c>
      <c r="H58" s="264"/>
      <c r="I58" s="265" t="s">
        <v>524</v>
      </c>
      <c r="J58" s="265"/>
    </row>
    <row r="59" customFormat="false" ht="21" hidden="false" customHeight="true" outlineLevel="0" collapsed="false">
      <c r="B59" s="228" t="s">
        <v>534</v>
      </c>
      <c r="C59" s="228"/>
      <c r="D59" s="228"/>
      <c r="E59" s="228"/>
      <c r="F59" s="228"/>
      <c r="G59" s="266" t="n">
        <v>44526</v>
      </c>
      <c r="H59" s="266"/>
      <c r="I59" s="232" t="n">
        <v>11500</v>
      </c>
      <c r="J59" s="232"/>
    </row>
    <row r="60" customFormat="false" ht="21" hidden="false" customHeight="true" outlineLevel="0" collapsed="false">
      <c r="B60" s="228" t="s">
        <v>530</v>
      </c>
      <c r="C60" s="228"/>
      <c r="D60" s="228"/>
      <c r="E60" s="228"/>
      <c r="F60" s="228"/>
      <c r="G60" s="266" t="n">
        <v>44526</v>
      </c>
      <c r="H60" s="266"/>
      <c r="I60" s="232" t="n">
        <v>11500</v>
      </c>
      <c r="J60" s="232"/>
    </row>
    <row r="61" customFormat="false" ht="21" hidden="false" customHeight="true" outlineLevel="0" collapsed="false">
      <c r="B61" s="233" t="s">
        <v>527</v>
      </c>
      <c r="C61" s="233"/>
      <c r="D61" s="233"/>
      <c r="E61" s="233"/>
      <c r="F61" s="233"/>
      <c r="G61" s="271" t="n">
        <v>44526</v>
      </c>
      <c r="H61" s="271"/>
      <c r="I61" s="236" t="n">
        <v>12650</v>
      </c>
      <c r="J61" s="236"/>
    </row>
    <row r="62" customFormat="false" ht="11.25" hidden="false" customHeight="true" outlineLevel="0" collapsed="false">
      <c r="B62" s="237"/>
      <c r="C62" s="237"/>
      <c r="D62" s="237"/>
      <c r="E62" s="237"/>
      <c r="F62" s="237"/>
      <c r="G62" s="237"/>
      <c r="H62" s="237"/>
      <c r="I62" s="237"/>
      <c r="J62" s="237"/>
    </row>
    <row r="64" customFormat="false" ht="14.25" hidden="false" customHeight="false" outlineLevel="0" collapsed="false">
      <c r="B64" s="101" t="s">
        <v>456</v>
      </c>
      <c r="C64" s="101"/>
      <c r="D64" s="101"/>
      <c r="E64" s="101"/>
      <c r="F64" s="101"/>
      <c r="G64" s="101"/>
      <c r="H64" s="101"/>
      <c r="I64" s="101"/>
      <c r="J64" s="101"/>
    </row>
    <row r="65" customFormat="false" ht="14.25" hidden="false" customHeight="false" outlineLevel="0" collapsed="false">
      <c r="B65" s="101"/>
      <c r="C65" s="101"/>
      <c r="D65" s="101"/>
      <c r="E65" s="101"/>
      <c r="F65" s="101"/>
      <c r="G65" s="101"/>
      <c r="H65" s="101"/>
      <c r="I65" s="101"/>
      <c r="J65" s="101"/>
    </row>
    <row r="66" customFormat="false" ht="14.25" hidden="false" customHeight="false" outlineLevel="0" collapsed="false">
      <c r="B66" s="102" t="n">
        <f aca="true">TODAY()</f>
        <v>46066</v>
      </c>
      <c r="C66" s="102"/>
      <c r="D66" s="102"/>
      <c r="E66" s="102"/>
      <c r="F66" s="102"/>
      <c r="G66" s="250"/>
      <c r="H66" s="147"/>
      <c r="I66" s="147"/>
      <c r="J66" s="147"/>
    </row>
    <row r="67" customFormat="false" ht="14.25" hidden="false" customHeight="false" outlineLevel="0" collapsed="false">
      <c r="G67" s="272" t="s">
        <v>457</v>
      </c>
      <c r="H67" s="272"/>
      <c r="I67" s="272"/>
      <c r="J67" s="272"/>
    </row>
    <row r="68" customFormat="false" ht="14.25" hidden="false" customHeight="false" outlineLevel="0" collapsed="false">
      <c r="G68" s="144" t="s">
        <v>508</v>
      </c>
      <c r="H68" s="144"/>
      <c r="I68" s="144"/>
      <c r="J68" s="144"/>
    </row>
    <row r="69" customFormat="false" ht="14.25" hidden="false" customHeight="false" outlineLevel="0" collapsed="false">
      <c r="G69" s="142"/>
      <c r="H69" s="142"/>
      <c r="I69" s="142"/>
      <c r="J69" s="142"/>
    </row>
  </sheetData>
  <mergeCells count="142">
    <mergeCell ref="B2:C5"/>
    <mergeCell ref="D2:J2"/>
    <mergeCell ref="D3:J3"/>
    <mergeCell ref="D4:J4"/>
    <mergeCell ref="D5:J5"/>
    <mergeCell ref="B6:J6"/>
    <mergeCell ref="B7:C7"/>
    <mergeCell ref="D7:J7"/>
    <mergeCell ref="B8:C8"/>
    <mergeCell ref="D8:J8"/>
    <mergeCell ref="B9:J9"/>
    <mergeCell ref="B10:J10"/>
    <mergeCell ref="B11:C11"/>
    <mergeCell ref="D11:G11"/>
    <mergeCell ref="H11:I11"/>
    <mergeCell ref="B12:C12"/>
    <mergeCell ref="D12:G12"/>
    <mergeCell ref="H12:I12"/>
    <mergeCell ref="B13:C13"/>
    <mergeCell ref="D13:G13"/>
    <mergeCell ref="H13:I13"/>
    <mergeCell ref="B14:C14"/>
    <mergeCell ref="D14:G14"/>
    <mergeCell ref="H14:I14"/>
    <mergeCell ref="B15:C15"/>
    <mergeCell ref="D15:G15"/>
    <mergeCell ref="H15:I15"/>
    <mergeCell ref="B16:C16"/>
    <mergeCell ref="D16:G16"/>
    <mergeCell ref="H16:I16"/>
    <mergeCell ref="B17:C17"/>
    <mergeCell ref="D17:G17"/>
    <mergeCell ref="H17:I17"/>
    <mergeCell ref="B18:G18"/>
    <mergeCell ref="H18:I18"/>
    <mergeCell ref="B19:J19"/>
    <mergeCell ref="B20:C20"/>
    <mergeCell ref="D20:H20"/>
    <mergeCell ref="I20:J20"/>
    <mergeCell ref="B21:C21"/>
    <mergeCell ref="D21:H21"/>
    <mergeCell ref="I21:J21"/>
    <mergeCell ref="B22:J22"/>
    <mergeCell ref="B23:F23"/>
    <mergeCell ref="G23:H23"/>
    <mergeCell ref="I23:J23"/>
    <mergeCell ref="B24:F24"/>
    <mergeCell ref="G24:H24"/>
    <mergeCell ref="I24:J24"/>
    <mergeCell ref="B25:F25"/>
    <mergeCell ref="G25:H25"/>
    <mergeCell ref="I25:J25"/>
    <mergeCell ref="B26:F26"/>
    <mergeCell ref="G26:H26"/>
    <mergeCell ref="I26:J26"/>
    <mergeCell ref="B27:J27"/>
    <mergeCell ref="B28:C28"/>
    <mergeCell ref="D28:H28"/>
    <mergeCell ref="I28:J28"/>
    <mergeCell ref="B29:J29"/>
    <mergeCell ref="B30:F30"/>
    <mergeCell ref="G30:H30"/>
    <mergeCell ref="I30:J30"/>
    <mergeCell ref="B31:F31"/>
    <mergeCell ref="G31:H31"/>
    <mergeCell ref="I31:J31"/>
    <mergeCell ref="B32:F32"/>
    <mergeCell ref="G32:H32"/>
    <mergeCell ref="I32:J32"/>
    <mergeCell ref="B33:F33"/>
    <mergeCell ref="G33:H33"/>
    <mergeCell ref="I33:J33"/>
    <mergeCell ref="B34:J34"/>
    <mergeCell ref="B35:C35"/>
    <mergeCell ref="D35:H35"/>
    <mergeCell ref="I35:J35"/>
    <mergeCell ref="B37:F37"/>
    <mergeCell ref="G37:H37"/>
    <mergeCell ref="I37:J37"/>
    <mergeCell ref="B38:F38"/>
    <mergeCell ref="G38:H38"/>
    <mergeCell ref="I38:J38"/>
    <mergeCell ref="B39:F39"/>
    <mergeCell ref="G39:H39"/>
    <mergeCell ref="I39:J39"/>
    <mergeCell ref="B40:F40"/>
    <mergeCell ref="G40:H40"/>
    <mergeCell ref="I40:J40"/>
    <mergeCell ref="B41:J41"/>
    <mergeCell ref="B42:C42"/>
    <mergeCell ref="D42:H42"/>
    <mergeCell ref="I42:J42"/>
    <mergeCell ref="B44:F44"/>
    <mergeCell ref="G44:H44"/>
    <mergeCell ref="I44:J44"/>
    <mergeCell ref="B45:F45"/>
    <mergeCell ref="G45:H45"/>
    <mergeCell ref="I45:J45"/>
    <mergeCell ref="B46:F46"/>
    <mergeCell ref="G46:H46"/>
    <mergeCell ref="I46:J46"/>
    <mergeCell ref="B47:F47"/>
    <mergeCell ref="G47:H47"/>
    <mergeCell ref="I47:J47"/>
    <mergeCell ref="B48:J48"/>
    <mergeCell ref="B49:C49"/>
    <mergeCell ref="D49:H49"/>
    <mergeCell ref="I49:J49"/>
    <mergeCell ref="B51:F51"/>
    <mergeCell ref="G51:H51"/>
    <mergeCell ref="I51:J51"/>
    <mergeCell ref="B52:F52"/>
    <mergeCell ref="G52:H52"/>
    <mergeCell ref="I52:J52"/>
    <mergeCell ref="B53:F53"/>
    <mergeCell ref="G53:H53"/>
    <mergeCell ref="I53:J53"/>
    <mergeCell ref="B54:F54"/>
    <mergeCell ref="G54:H54"/>
    <mergeCell ref="I54:J54"/>
    <mergeCell ref="B55:J55"/>
    <mergeCell ref="B56:C56"/>
    <mergeCell ref="D56:H56"/>
    <mergeCell ref="I56:J56"/>
    <mergeCell ref="B58:F58"/>
    <mergeCell ref="G58:H58"/>
    <mergeCell ref="I58:J58"/>
    <mergeCell ref="B59:F59"/>
    <mergeCell ref="G59:H59"/>
    <mergeCell ref="I59:J59"/>
    <mergeCell ref="B60:F60"/>
    <mergeCell ref="G60:H60"/>
    <mergeCell ref="I60:J60"/>
    <mergeCell ref="B61:F61"/>
    <mergeCell ref="G61:H61"/>
    <mergeCell ref="I61:J61"/>
    <mergeCell ref="B62:J62"/>
    <mergeCell ref="B64:J65"/>
    <mergeCell ref="B66:F66"/>
    <mergeCell ref="G67:J67"/>
    <mergeCell ref="G68:J68"/>
    <mergeCell ref="G69:J69"/>
  </mergeCells>
  <printOptions headings="false" gridLines="false" gridLinesSet="true" horizontalCentered="true" verticalCentered="true"/>
  <pageMargins left="0.315277777777778" right="0.315277777777778" top="0.196527777777778" bottom="0.196527777777778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pageBreakPreview" topLeftCell="A4" colorId="64" zoomScale="110" zoomScaleNormal="100" zoomScalePageLayoutView="110" workbookViewId="0">
      <selection pane="topLeft" activeCell="B6" activeCellId="0" sqref="B6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04" width="25"/>
    <col collapsed="false" customWidth="true" hidden="false" outlineLevel="0" max="2" min="2" style="104" width="11.11"/>
    <col collapsed="false" customWidth="true" hidden="false" outlineLevel="0" max="3" min="3" style="104" width="9.56"/>
    <col collapsed="false" customWidth="true" hidden="false" outlineLevel="0" max="4" min="4" style="104" width="11.44"/>
    <col collapsed="false" customWidth="true" hidden="false" outlineLevel="0" max="5" min="5" style="104" width="27.44"/>
    <col collapsed="false" customWidth="true" hidden="false" outlineLevel="0" max="6" min="6" style="104" width="11.67"/>
    <col collapsed="false" customWidth="true" hidden="false" outlineLevel="0" max="16384" min="16384" style="104" width="11.53"/>
  </cols>
  <sheetData>
    <row r="1" customFormat="false" ht="86.25" hidden="false" customHeight="true" outlineLevel="0" collapsed="false">
      <c r="A1" s="273"/>
      <c r="B1" s="274" t="s">
        <v>535</v>
      </c>
      <c r="C1" s="274"/>
      <c r="D1" s="274"/>
      <c r="E1" s="274"/>
    </row>
    <row r="2" customFormat="false" ht="14.25" hidden="false" customHeight="false" outlineLevel="0" collapsed="false">
      <c r="A2" s="275"/>
      <c r="B2" s="275"/>
      <c r="C2" s="275"/>
      <c r="D2" s="275"/>
      <c r="E2" s="275"/>
    </row>
    <row r="3" customFormat="false" ht="28.5" hidden="false" customHeight="true" outlineLevel="0" collapsed="false">
      <c r="A3" s="276" t="s">
        <v>4</v>
      </c>
      <c r="B3" s="277" t="str">
        <f aca="false">'ORÇ.'!D7</f>
        <v>Projeto de Ampliação em Unidade Básica de Saúde do Município – UBS Iracema Pinto Ricci Nina</v>
      </c>
      <c r="C3" s="277"/>
      <c r="D3" s="277"/>
      <c r="E3" s="277"/>
      <c r="F3" s="278"/>
    </row>
    <row r="4" customFormat="false" ht="28.5" hidden="false" customHeight="true" outlineLevel="0" collapsed="false">
      <c r="A4" s="276" t="s">
        <v>9</v>
      </c>
      <c r="B4" s="279" t="str">
        <f aca="false">'ORÇ.'!D8</f>
        <v>Jardim Diva Sarcinelli, Rua Amadeu Pinto – Espírito Santo do Pinhal – SP</v>
      </c>
      <c r="C4" s="279"/>
      <c r="D4" s="279"/>
      <c r="E4" s="279"/>
      <c r="F4" s="278"/>
    </row>
    <row r="5" customFormat="false" ht="14.25" hidden="false" customHeight="false" outlineLevel="0" collapsed="false">
      <c r="A5" s="280"/>
      <c r="B5" s="281"/>
      <c r="C5" s="282"/>
      <c r="D5" s="282"/>
      <c r="E5" s="282"/>
      <c r="F5" s="278"/>
    </row>
    <row r="6" customFormat="false" ht="14.25" hidden="false" customHeight="false" outlineLevel="0" collapsed="false">
      <c r="A6" s="283" t="s">
        <v>536</v>
      </c>
      <c r="B6" s="284" t="n">
        <v>1</v>
      </c>
      <c r="C6" s="285" t="n">
        <f aca="false">IF(B6&gt;0,IF(B6&lt;7,,"&lt;--- Insira valor entre 1 e 6"),"&lt;--- Insira valor entre 1 e 6")</f>
        <v>0</v>
      </c>
      <c r="D6" s="286"/>
      <c r="E6" s="287"/>
      <c r="F6" s="278"/>
    </row>
    <row r="7" customFormat="false" ht="14.25" hidden="false" customHeight="false" outlineLevel="0" collapsed="false">
      <c r="A7" s="288" t="s">
        <v>537</v>
      </c>
      <c r="B7" s="289" t="n">
        <v>1</v>
      </c>
      <c r="C7" s="290" t="s">
        <v>538</v>
      </c>
      <c r="D7" s="290"/>
      <c r="E7" s="290"/>
      <c r="F7" s="278"/>
    </row>
    <row r="8" customFormat="false" ht="23.85" hidden="false" customHeight="false" outlineLevel="0" collapsed="false">
      <c r="A8" s="291" t="s">
        <v>539</v>
      </c>
      <c r="B8" s="292" t="n">
        <v>2</v>
      </c>
      <c r="C8" s="293" t="s">
        <v>540</v>
      </c>
      <c r="D8" s="294" t="s">
        <v>541</v>
      </c>
      <c r="E8" s="295"/>
      <c r="F8" s="278"/>
    </row>
    <row r="9" customFormat="false" ht="46.25" hidden="false" customHeight="false" outlineLevel="0" collapsed="false">
      <c r="A9" s="291" t="s">
        <v>542</v>
      </c>
      <c r="B9" s="292" t="n">
        <v>3</v>
      </c>
      <c r="C9" s="296"/>
      <c r="D9" s="297" t="s">
        <v>543</v>
      </c>
      <c r="E9" s="298"/>
      <c r="F9" s="278"/>
    </row>
    <row r="10" customFormat="false" ht="46.25" hidden="false" customHeight="false" outlineLevel="0" collapsed="false">
      <c r="A10" s="291" t="s">
        <v>544</v>
      </c>
      <c r="B10" s="292" t="n">
        <v>4</v>
      </c>
      <c r="C10" s="299" t="s">
        <v>545</v>
      </c>
      <c r="D10" s="299"/>
      <c r="E10" s="299"/>
      <c r="F10" s="278"/>
    </row>
    <row r="11" customFormat="false" ht="23.6" hidden="false" customHeight="false" outlineLevel="0" collapsed="false">
      <c r="A11" s="291" t="s">
        <v>546</v>
      </c>
      <c r="B11" s="292" t="n">
        <v>5</v>
      </c>
      <c r="C11" s="300" t="s">
        <v>547</v>
      </c>
      <c r="D11" s="301" t="s">
        <v>548</v>
      </c>
      <c r="E11" s="287"/>
      <c r="F11" s="278"/>
    </row>
    <row r="12" customFormat="false" ht="23.6" hidden="false" customHeight="false" outlineLevel="0" collapsed="false">
      <c r="A12" s="291" t="s">
        <v>549</v>
      </c>
      <c r="B12" s="292" t="n">
        <v>6</v>
      </c>
      <c r="C12" s="302"/>
      <c r="D12" s="303" t="s">
        <v>550</v>
      </c>
      <c r="E12" s="304"/>
      <c r="F12" s="278"/>
    </row>
    <row r="13" customFormat="false" ht="14.25" hidden="false" customHeight="false" outlineLevel="0" collapsed="false">
      <c r="A13" s="305"/>
      <c r="B13" s="278"/>
      <c r="C13" s="278"/>
      <c r="D13" s="278"/>
      <c r="E13" s="306"/>
      <c r="F13" s="278"/>
    </row>
    <row r="14" customFormat="false" ht="15" hidden="false" customHeight="false" outlineLevel="0" collapsed="false">
      <c r="A14" s="2"/>
      <c r="B14" s="307" t="s">
        <v>551</v>
      </c>
      <c r="C14" s="307"/>
      <c r="D14" s="307"/>
      <c r="E14" s="2"/>
      <c r="F14" s="1"/>
    </row>
    <row r="15" customFormat="false" ht="26.85" hidden="false" customHeight="false" outlineLevel="0" collapsed="false">
      <c r="A15" s="308" t="s">
        <v>552</v>
      </c>
      <c r="B15" s="308" t="s">
        <v>553</v>
      </c>
      <c r="C15" s="308" t="s">
        <v>554</v>
      </c>
      <c r="D15" s="308" t="s">
        <v>555</v>
      </c>
      <c r="E15" s="308" t="s">
        <v>556</v>
      </c>
      <c r="F15" s="1"/>
    </row>
    <row r="16" customFormat="false" ht="15" hidden="false" customHeight="false" outlineLevel="0" collapsed="false">
      <c r="A16" s="308"/>
      <c r="B16" s="309" t="n">
        <f aca="false">IF($B$6=1,([1]Plan1!C2),IF($B$6=2,([1]Plan1!C11),IF($B$6=3,([1]Plan1!C20),IF($B$6=4,([1]Plan1!C29),IF($B$6=5,([1]Plan1!C38),IF($B$6=6,([1]Plan1!C47)))))))</f>
        <v>0.2043</v>
      </c>
      <c r="C16" s="309" t="n">
        <f aca="false">IF($B$6=1,([1]Plan1!D2),IF($B$6=2,([1]Plan1!D11),IF($B$6=3,([1]Plan1!D20),IF($B$6=4,([1]Plan1!D29),IF($B$6=5,([1]Plan1!D38),IF($B$6=6,([1]Plan1!D47)))))))</f>
        <v>0.2212</v>
      </c>
      <c r="D16" s="309" t="n">
        <f aca="false">IF($B$6=1,([1]Plan1!E2),IF($B$6=2,([1]Plan1!E11),IF($B$6=3,([1]Plan1!E20),IF($B$6=4,([1]Plan1!E29),IF($B$6=5,([1]Plan1!E38),IF($B$6=6,([1]Plan1!E47)))))))</f>
        <v>0.25</v>
      </c>
      <c r="E16" s="308"/>
      <c r="F16" s="1"/>
    </row>
    <row r="17" customFormat="false" ht="15" hidden="false" customHeight="false" outlineLevel="0" collapsed="false">
      <c r="A17" s="310" t="s">
        <v>557</v>
      </c>
      <c r="B17" s="311" t="n">
        <f aca="false">IF($B$6=1,([1]Plan1!C3),IF($B$6=2,([1]Plan1!C12),IF($B$6=3,([1]Plan1!C21),IF($B$6=4,([1]Plan1!C30),IF($B$6=5,([1]Plan1!C39),IF($B$6=6,([1]Plan1!C48)))))))</f>
        <v>0.03</v>
      </c>
      <c r="C17" s="311" t="n">
        <f aca="false">IF($B$6=1,([1]Plan1!D3),IF($B$6=2,([1]Plan1!D12),IF($B$6=3,([1]Plan1!D21),IF($B$6=4,([1]Plan1!D30),IF($B$6=5,([1]Plan1!D39),IF($B$6=6,([1]Plan1!D48)))))))</f>
        <v>0.04</v>
      </c>
      <c r="D17" s="311" t="n">
        <f aca="false">IF($B$6=1,([1]Plan1!E3),IF($B$6=2,([1]Plan1!E12),IF($B$6=3,([1]Plan1!E21),IF($B$6=4,([1]Plan1!E30),IF($B$6=5,([1]Plan1!E39),IF($B$6=6,([1]Plan1!E48)))))))</f>
        <v>0.055</v>
      </c>
      <c r="E17" s="312" t="n">
        <v>0.0301</v>
      </c>
      <c r="F17" s="313" t="str">
        <f aca="false">IF(E17=0,"",IF(E17&lt;B17,"Atenção, observar os intervalos!",IF(E17&gt;D17,"Atenção, observar os intervalos!","")))</f>
        <v/>
      </c>
    </row>
    <row r="18" customFormat="false" ht="15" hidden="false" customHeight="false" outlineLevel="0" collapsed="false">
      <c r="A18" s="314" t="s">
        <v>558</v>
      </c>
      <c r="B18" s="315" t="n">
        <f aca="false">IF($B$6=1,([1]Plan1!C4),IF($B$6=2,([1]Plan1!C13),IF($B$6=3,([1]Plan1!C22),IF($B$6=4,([1]Plan1!C31),IF($B$6=5,([1]Plan1!C40),IF($B$6=6,([1]Plan1!C49)))))))</f>
        <v>0.008</v>
      </c>
      <c r="C18" s="315" t="n">
        <f aca="false">IF($B$6=1,([1]Plan1!D4),IF($B$6=2,([1]Plan1!D13),IF($B$6=3,([1]Plan1!D22),IF($B$6=4,([1]Plan1!D31),IF($B$6=5,([1]Plan1!D40),IF($B$6=6,([1]Plan1!D49)))))))</f>
        <v>0.008</v>
      </c>
      <c r="D18" s="315" t="n">
        <f aca="false">IF($B$6=1,([1]Plan1!E4),IF($B$6=2,([1]Plan1!E13),IF($B$6=3,([1]Plan1!E22),IF($B$6=4,([1]Plan1!E31),IF($B$6=5,([1]Plan1!E40),IF($B$6=6,([1]Plan1!E49)))))))</f>
        <v>0.01</v>
      </c>
      <c r="E18" s="312" t="n">
        <v>0.01</v>
      </c>
      <c r="F18" s="313" t="str">
        <f aca="false">IF(E18=0,"",IF(E18&lt;B18,"Atenção, observar os intervalos!",IF(E18&gt;D18,"Atenção, observar os intervalos!","")))</f>
        <v/>
      </c>
    </row>
    <row r="19" customFormat="false" ht="15" hidden="false" customHeight="false" outlineLevel="0" collapsed="false">
      <c r="A19" s="314" t="s">
        <v>559</v>
      </c>
      <c r="B19" s="315" t="n">
        <f aca="false">IF($B$6=1,([1]Plan1!C5),IF($B$6=2,([1]Plan1!C14),IF($B$6=3,([1]Plan1!C23),IF($B$6=4,([1]Plan1!C32),IF($B$6=5,([1]Plan1!C41),IF($B$6=6,([1]Plan1!C50)))))))</f>
        <v>0.0097</v>
      </c>
      <c r="C19" s="315" t="n">
        <f aca="false">IF($B$6=1,([1]Plan1!D5),IF($B$6=2,([1]Plan1!D14),IF($B$6=3,([1]Plan1!D23),IF($B$6=4,([1]Plan1!D32),IF($B$6=5,([1]Plan1!D41),IF($B$6=6,([1]Plan1!D50)))))))</f>
        <v>0.0127</v>
      </c>
      <c r="D19" s="315" t="n">
        <f aca="false">IF($B$6=1,([1]Plan1!E5),IF($B$6=2,([1]Plan1!E14),IF($B$6=3,([1]Plan1!E23),IF($B$6=4,([1]Plan1!E32),IF($B$6=5,([1]Plan1!E41),IF($B$6=6,([1]Plan1!E50)))))))</f>
        <v>0.0127</v>
      </c>
      <c r="E19" s="312" t="n">
        <v>0.0127</v>
      </c>
      <c r="F19" s="313" t="str">
        <f aca="false">IF(E19=0,"",IF(E19&lt;B19,"Atenção, observar os intervalos!",IF(E19&gt;D19,"Atenção, observar os intervalos!","")))</f>
        <v/>
      </c>
    </row>
    <row r="20" customFormat="false" ht="15" hidden="false" customHeight="false" outlineLevel="0" collapsed="false">
      <c r="A20" s="314" t="s">
        <v>560</v>
      </c>
      <c r="B20" s="315" t="n">
        <f aca="false">IF($B$6=1,([1]Plan1!C6),IF($B$6=2,([1]Plan1!C15),IF($B$6=3,([1]Plan1!C24),IF($B$6=4,([1]Plan1!C33),IF($B$6=5,([1]Plan1!C42),IF($B$6=6,([1]Plan1!C51)))))))</f>
        <v>0.0059</v>
      </c>
      <c r="C20" s="315" t="n">
        <f aca="false">IF($B$6=1,([1]Plan1!D6),IF($B$6=2,([1]Plan1!D15),IF($B$6=3,([1]Plan1!D24),IF($B$6=4,([1]Plan1!D33),IF($B$6=5,([1]Plan1!D42),IF($B$6=6,([1]Plan1!D51)))))))</f>
        <v>0.0123</v>
      </c>
      <c r="D20" s="315" t="n">
        <f aca="false">IF($B$6=1,([1]Plan1!E6),IF($B$6=2,([1]Plan1!E15),IF($B$6=3,([1]Plan1!E24),IF($B$6=4,([1]Plan1!E33),IF($B$6=5,([1]Plan1!E42),IF($B$6=6,([1]Plan1!E51)))))))</f>
        <v>0.0139</v>
      </c>
      <c r="E20" s="312" t="n">
        <v>0.0059</v>
      </c>
      <c r="F20" s="313" t="str">
        <f aca="false">IF(E20=0,"",IF(E20&lt;B20,"Atenção, observar os intervalos!",IF(E20&gt;D20,"Atenção, observar os intervalos!","")))</f>
        <v/>
      </c>
    </row>
    <row r="21" customFormat="false" ht="15" hidden="false" customHeight="false" outlineLevel="0" collapsed="false">
      <c r="A21" s="314" t="s">
        <v>561</v>
      </c>
      <c r="B21" s="315" t="n">
        <f aca="false">IF($B$6=1,([1]Plan1!C7),IF($B$6=2,([1]Plan1!C16),IF($B$6=3,([1]Plan1!C25),IF($B$6=4,([1]Plan1!C34),IF($B$6=5,([1]Plan1!C43),IF($B$6=6,([1]Plan1!C52)))))))</f>
        <v>0.0616</v>
      </c>
      <c r="C21" s="315" t="n">
        <f aca="false">IF($B$6=1,([1]Plan1!D7),IF($B$6=2,([1]Plan1!D16),IF($B$6=3,([1]Plan1!D25),IF($B$6=4,([1]Plan1!D34),IF($B$6=5,([1]Plan1!D43),IF($B$6=6,([1]Plan1!D52)))))))</f>
        <v>0.074</v>
      </c>
      <c r="D21" s="315" t="n">
        <f aca="false">IF($B$6=1,([1]Plan1!E7),IF($B$6=2,([1]Plan1!E16),IF($B$6=3,([1]Plan1!E25),IF($B$6=4,([1]Plan1!E34),IF($B$6=5,([1]Plan1!E43),IF($B$6=6,([1]Plan1!E52)))))))</f>
        <v>0.0896</v>
      </c>
      <c r="E21" s="312" t="n">
        <v>0.0616</v>
      </c>
      <c r="F21" s="313" t="str">
        <f aca="false">IF(E21=0,"",IF(E21&lt;B21,"Atenção, observar os intervalos!",IF(E21&gt;D21,"Atenção, observar os intervalos!","")))</f>
        <v/>
      </c>
    </row>
    <row r="22" customFormat="false" ht="15" hidden="false" customHeight="false" outlineLevel="0" collapsed="false">
      <c r="A22" s="316" t="s">
        <v>562</v>
      </c>
      <c r="B22" s="316"/>
      <c r="C22" s="316"/>
      <c r="D22" s="316"/>
      <c r="E22" s="317" t="n">
        <v>0.0365</v>
      </c>
      <c r="F22" s="313"/>
    </row>
    <row r="23" customFormat="false" ht="15" hidden="false" customHeight="false" outlineLevel="0" collapsed="false">
      <c r="A23" s="318" t="s">
        <v>563</v>
      </c>
      <c r="B23" s="318"/>
      <c r="C23" s="318"/>
      <c r="D23" s="318"/>
      <c r="E23" s="317" t="n">
        <v>0.03</v>
      </c>
      <c r="F23" s="313"/>
    </row>
    <row r="24" customFormat="false" ht="14.25" hidden="false" customHeight="false" outlineLevel="0" collapsed="false">
      <c r="A24" s="1"/>
      <c r="B24" s="1"/>
      <c r="C24" s="1"/>
      <c r="D24" s="1"/>
      <c r="E24" s="2"/>
      <c r="F24" s="1"/>
    </row>
    <row r="25" customFormat="false" ht="15" hidden="false" customHeight="false" outlineLevel="0" collapsed="false">
      <c r="A25" s="319" t="s">
        <v>564</v>
      </c>
      <c r="B25" s="319"/>
      <c r="C25" s="319"/>
      <c r="D25" s="319"/>
      <c r="E25" s="320" t="n">
        <f aca="false">(1+E17+E18+E19)*(1+E20)*(1+E21)/(1-E22-E23)-1</f>
        <v>0.204334900516336</v>
      </c>
      <c r="F25" s="313" t="str">
        <f aca="false">IF(E25&lt;B16,"ATENÇÃO! BDI inferior ao 1º quartil - OBRIGATÓRIA APRESENTAÇÃO DE JUSTIFICATIVA!",IF(E25&gt;D16,"ATENÇÃO! BDI superior ao 3º quartil - OBRIGATÓRIA APRESENTAÇÃO DE JUSTIFICATIVA!",""))</f>
        <v/>
      </c>
    </row>
    <row r="26" customFormat="false" ht="15" hidden="false" customHeight="false" outlineLevel="0" collapsed="false">
      <c r="A26" s="321" t="s">
        <v>565</v>
      </c>
      <c r="B26" s="321"/>
      <c r="C26" s="321"/>
      <c r="D26" s="321"/>
      <c r="E26" s="322" t="e">
        <f aca="false">(1+E17+E18+E19)*(1+E20)*(1+E21)/(1-E22-E23-#REF!)-1</f>
        <v>#REF!</v>
      </c>
      <c r="F26" s="323"/>
    </row>
    <row r="27" customFormat="false" ht="14.25" hidden="false" customHeight="false" outlineLevel="0" collapsed="false">
      <c r="A27" s="1"/>
      <c r="B27" s="1"/>
      <c r="C27" s="1"/>
      <c r="D27" s="1"/>
      <c r="E27" s="2"/>
      <c r="F27" s="1"/>
    </row>
    <row r="28" customFormat="false" ht="39" hidden="false" customHeight="true" outlineLevel="0" collapsed="false">
      <c r="A28" s="324" t="s">
        <v>566</v>
      </c>
      <c r="B28" s="324"/>
      <c r="C28" s="324"/>
      <c r="D28" s="324"/>
      <c r="E28" s="324"/>
      <c r="F28" s="1"/>
    </row>
    <row r="29" customFormat="false" ht="14.25" hidden="false" customHeight="false" outlineLevel="0" collapsed="false">
      <c r="A29" s="1"/>
      <c r="B29" s="1"/>
      <c r="C29" s="1"/>
      <c r="D29" s="1"/>
      <c r="E29" s="2"/>
      <c r="F29" s="1"/>
    </row>
    <row r="30" customFormat="false" ht="14.25" hidden="false" customHeight="false" outlineLevel="0" collapsed="false">
      <c r="A30" s="280" t="s">
        <v>567</v>
      </c>
      <c r="B30" s="280"/>
      <c r="C30" s="280"/>
      <c r="D30" s="280"/>
      <c r="E30" s="280"/>
      <c r="F30" s="1"/>
    </row>
    <row r="31" customFormat="false" ht="14.25" hidden="false" customHeight="false" outlineLevel="0" collapsed="false">
      <c r="A31" s="1"/>
      <c r="B31" s="1"/>
      <c r="C31" s="1"/>
      <c r="D31" s="1"/>
      <c r="E31" s="325"/>
      <c r="F31" s="1"/>
    </row>
    <row r="32" customFormat="false" ht="14.25" hidden="false" customHeight="false" outlineLevel="0" collapsed="false">
      <c r="A32" s="1"/>
      <c r="B32" s="1"/>
      <c r="C32" s="1"/>
      <c r="D32" s="1"/>
      <c r="E32" s="2"/>
      <c r="F32" s="1"/>
    </row>
    <row r="33" customFormat="false" ht="14.25" hidden="false" customHeight="false" outlineLevel="0" collapsed="false">
      <c r="A33" s="1"/>
      <c r="B33" s="1"/>
      <c r="C33" s="1"/>
      <c r="D33" s="1"/>
      <c r="E33" s="2"/>
      <c r="F33" s="1"/>
    </row>
    <row r="34" customFormat="false" ht="14.25" hidden="false" customHeight="false" outlineLevel="0" collapsed="false">
      <c r="A34" s="326"/>
      <c r="B34" s="326"/>
      <c r="C34" s="327"/>
      <c r="D34" s="1"/>
      <c r="E34" s="2"/>
      <c r="F34" s="1"/>
    </row>
    <row r="37" customFormat="false" ht="14.25" hidden="false" customHeight="false" outlineLevel="0" collapsed="false">
      <c r="C37" s="147"/>
      <c r="D37" s="147"/>
      <c r="E37" s="147"/>
    </row>
    <row r="38" customFormat="false" ht="14.25" hidden="false" customHeight="false" outlineLevel="0" collapsed="false">
      <c r="C38" s="142" t="s">
        <v>568</v>
      </c>
      <c r="D38" s="142"/>
      <c r="E38" s="142"/>
    </row>
    <row r="39" customFormat="false" ht="14.25" hidden="false" customHeight="false" outlineLevel="0" collapsed="false">
      <c r="C39" s="144" t="s">
        <v>569</v>
      </c>
      <c r="D39" s="144"/>
      <c r="E39" s="144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6">
    <mergeCell ref="B1:E1"/>
    <mergeCell ref="A2:E2"/>
    <mergeCell ref="B3:E3"/>
    <mergeCell ref="B4:E4"/>
    <mergeCell ref="C7:E7"/>
    <mergeCell ref="C10:E10"/>
    <mergeCell ref="B14:D14"/>
    <mergeCell ref="A22:D22"/>
    <mergeCell ref="A23:D23"/>
    <mergeCell ref="A25:D25"/>
    <mergeCell ref="A26:D26"/>
    <mergeCell ref="A28:E28"/>
    <mergeCell ref="A30:E30"/>
    <mergeCell ref="C37:E37"/>
    <mergeCell ref="C38:E38"/>
    <mergeCell ref="C39:E39"/>
  </mergeCells>
  <conditionalFormatting sqref="A25:E25">
    <cfRule type="expression" priority="2" aboveAverage="0" equalAverage="0" bottom="0" percent="0" rank="0" text="" dxfId="9">
      <formula>$C$12&lt;&gt;0</formula>
    </cfRule>
  </conditionalFormatting>
  <conditionalFormatting sqref="A26:E26">
    <cfRule type="expression" priority="3" aboveAverage="0" equalAverage="0" bottom="0" percent="0" rank="0" text="" dxfId="10">
      <formula>$C$12&lt;&gt;0</formula>
    </cfRule>
  </conditionalFormatting>
  <conditionalFormatting sqref="A30:E30">
    <cfRule type="expression" priority="4" aboveAverage="0" equalAverage="0" bottom="0" percent="0" rank="0" text="" dxfId="11">
      <formula>$C$12&lt;&gt;0</formula>
    </cfRule>
  </conditionalFormatting>
  <conditionalFormatting sqref="D11">
    <cfRule type="expression" priority="5" aboveAverage="0" equalAverage="0" bottom="0" percent="0" rank="0" text="" dxfId="9">
      <formula>$C$12&lt;&gt;0</formula>
    </cfRule>
  </conditionalFormatting>
  <conditionalFormatting sqref="D9">
    <cfRule type="expression" priority="6" aboveAverage="0" equalAverage="0" bottom="0" percent="0" rank="0" text="" dxfId="12">
      <formula>$C$9&lt;&gt;0</formula>
    </cfRule>
  </conditionalFormatting>
  <conditionalFormatting sqref="D8">
    <cfRule type="expression" priority="7" aboveAverage="0" equalAverage="0" bottom="0" percent="0" rank="0" text="" dxfId="13">
      <formula>$C$9&lt;&gt;0</formula>
    </cfRule>
  </conditionalFormatting>
  <conditionalFormatting sqref="A7:B12">
    <cfRule type="expression" priority="8" aboveAverage="0" equalAverage="0" bottom="0" percent="0" rank="0" text="" dxfId="14">
      <formula>$B7&lt;&gt;$B$6</formula>
    </cfRule>
  </conditionalFormatting>
  <conditionalFormatting sqref="D12">
    <cfRule type="expression" priority="9" aboveAverage="0" equalAverage="0" bottom="0" percent="0" rank="0" text="" dxfId="15">
      <formula>$C$12&lt;&gt;0</formula>
    </cfRule>
  </conditionalFormatting>
  <printOptions headings="false" gridLines="false" gridLinesSet="true" horizontalCentered="true" verticalCentered="true"/>
  <pageMargins left="0.511805555555556" right="0.511805555555556" top="0.7875" bottom="0.7875" header="0.511811023622047" footer="0.511811023622047"/>
  <pageSetup paperSize="9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2373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2021-11-17T15:03:03Z</dcterms:created>
  <dc:creator>Fernando Donisete Dias Junior</dc:creator>
  <dc:description/>
  <dc:language>pt-BR</dc:language>
  <cp:lastModifiedBy/>
  <cp:lastPrinted>2026-02-11T12:32:31Z</cp:lastPrinted>
  <dcterms:modified xsi:type="dcterms:W3CDTF">2026-02-13T08:59:27Z</dcterms:modified>
  <cp:revision>304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